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0920" firstSheet="2" activeTab="6"/>
  </bookViews>
  <sheets>
    <sheet name="Анн 12" sheetId="1" r:id="rId1"/>
    <sheet name="Аннуитет 15 МК" sheetId="2" r:id="rId2"/>
    <sheet name="подбор" sheetId="3" r:id="rId3"/>
    <sheet name="Дифф 12" sheetId="4" r:id="rId4"/>
    <sheet name="Инвестирование дифф" sheetId="5" r:id="rId5"/>
    <sheet name="Инвестирование дифф (2)" sheetId="6" r:id="rId6"/>
    <sheet name="Новая формула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<sst xmlns="http://schemas.openxmlformats.org/spreadsheetml/2006/main" count="171" uniqueCount="32">
  <si>
    <t>Справочно</t>
  </si>
  <si>
    <t>АННУИТЕТНЫЙ ПЛАТЕЖ</t>
  </si>
  <si>
    <t>Дата платежа</t>
  </si>
  <si>
    <t>Кол-во дней</t>
  </si>
  <si>
    <t>Сумма основного долга</t>
  </si>
  <si>
    <t>Платеж в погашение основного долга</t>
  </si>
  <si>
    <t>Платеж в погашение процентов</t>
  </si>
  <si>
    <t>Ежемесячный платеж по займу</t>
  </si>
  <si>
    <t>Ежемесячный членский взнос заемщика</t>
  </si>
  <si>
    <t>Общий платеж по займу</t>
  </si>
  <si>
    <t>№ платежа</t>
  </si>
  <si>
    <t>ВСЕГО:</t>
  </si>
  <si>
    <t>ГРАФИК ПЛАТЕЖЕЙ  ПО ЗАЙМУ 16/06-14</t>
  </si>
  <si>
    <t>ПЕРЕПЛАТА (в рублях)</t>
  </si>
  <si>
    <t>ПЕРЕПЛАТА (в процентах)</t>
  </si>
  <si>
    <t>ПОЛНАЯ СТОИМОСТЬ КРЕДИТА (годовых)</t>
  </si>
  <si>
    <t>ЭФФЕКТИВНАЯ СТАВКА (годовых)</t>
  </si>
  <si>
    <t>Данные по займу</t>
  </si>
  <si>
    <t>Дата выдачи займа</t>
  </si>
  <si>
    <t>Сумма  займа</t>
  </si>
  <si>
    <t>Ставка по займу (годовых)</t>
  </si>
  <si>
    <t>Срок займа (месяцев)</t>
  </si>
  <si>
    <t>Ежемесячный членский взнос (сумма)</t>
  </si>
  <si>
    <t>Размер текущей задолженности заемщика перед КПК по договору потребительского кредита (займа):</t>
  </si>
  <si>
    <t>стандартный вариант представления графика</t>
  </si>
  <si>
    <t>в т.ч. Льготный период</t>
  </si>
  <si>
    <t xml:space="preserve">Единовременный взнос </t>
  </si>
  <si>
    <t>ГРАФИК ПЛАТЕЖЕЙ  ПО ЗАЙМУ 15/06-14</t>
  </si>
  <si>
    <t>Ежемесячный и Единовременный членский взнос заемщика</t>
  </si>
  <si>
    <t>ПОЛНАЯ СТОИМОСТЬ КРЕДИТА (подбор)</t>
  </si>
  <si>
    <t>ПСК</t>
  </si>
  <si>
    <t>Доход от инвестирования процентов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</si>
</sst>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[$-F800]dddd\,\ mmmm\ dd\,\ yyyy"/>
    <numFmt numFmtId="166" formatCode="_-* #,##0.00&quot;р.&quot;_-;\-* #,##0.00&quot;р.&quot;_-;_-* \-??&quot;р.&quot;_-;_-@_-"/>
    <numFmt numFmtId="167" formatCode="m/d/yyyy"/>
    <numFmt numFmtId="168" formatCode="_-* #,##0_р_._-;\-* #,##0_р_._-;_-* \-??_р_._-;_-@_-"/>
    <numFmt numFmtId="169" formatCode="_-* #,##0.00_р_._-;\-* #,##0.00_р_._-;_-* \-??_р_._-;_-@_-"/>
    <numFmt numFmtId="170" formatCode="[$-FC19]d\ mmmm\ yyyy\ &quot;г.&quot;"/>
  </numFmts>
  <fonts count="21">
    <font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/>
      <bottom style="medium"/>
    </border>
    <border>
      <left/>
      <right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8">
    <xf numFmtId="0" fontId="0" fillId="0" borderId="0" xfId="0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8" fontId="0" fillId="0" borderId="0" xfId="0" applyNumberFormat="1" applyAlignment="1">
      <alignment/>
    </xf>
    <xf numFmtId="43" fontId="0" fillId="0" borderId="0" xfId="60" applyFont="1" applyAlignment="1">
      <alignment/>
    </xf>
    <xf numFmtId="43" fontId="0" fillId="0" borderId="0" xfId="0" applyNumberFormat="1" applyAlignment="1">
      <alignment/>
    </xf>
    <xf numFmtId="44" fontId="0" fillId="0" borderId="0" xfId="43" applyFont="1" applyAlignment="1">
      <alignment/>
    </xf>
    <xf numFmtId="10" fontId="0" fillId="0" borderId="0" xfId="57" applyNumberFormat="1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8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44" fontId="0" fillId="0" borderId="11" xfId="43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164" fontId="0" fillId="0" borderId="0" xfId="60" applyNumberFormat="1" applyFont="1" applyAlignment="1">
      <alignment/>
    </xf>
    <xf numFmtId="164" fontId="0" fillId="0" borderId="11" xfId="6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0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8" fontId="0" fillId="10" borderId="11" xfId="0" applyNumberFormat="1" applyFill="1" applyBorder="1" applyAlignment="1">
      <alignment/>
    </xf>
    <xf numFmtId="8" fontId="0" fillId="0" borderId="0" xfId="57" applyNumberFormat="1" applyFont="1" applyAlignment="1">
      <alignment/>
    </xf>
    <xf numFmtId="44" fontId="0" fillId="0" borderId="0" xfId="43" applyFont="1" applyAlignment="1">
      <alignment/>
    </xf>
    <xf numFmtId="10" fontId="0" fillId="0" borderId="0" xfId="57" applyNumberFormat="1" applyFont="1" applyAlignment="1">
      <alignment/>
    </xf>
    <xf numFmtId="8" fontId="0" fillId="0" borderId="0" xfId="57" applyNumberFormat="1" applyFont="1" applyAlignment="1">
      <alignment/>
    </xf>
    <xf numFmtId="164" fontId="0" fillId="0" borderId="0" xfId="60" applyNumberFormat="1" applyFont="1" applyAlignment="1">
      <alignment/>
    </xf>
    <xf numFmtId="164" fontId="0" fillId="0" borderId="11" xfId="60" applyNumberFormat="1" applyFont="1" applyBorder="1" applyAlignment="1">
      <alignment/>
    </xf>
    <xf numFmtId="44" fontId="0" fillId="0" borderId="11" xfId="43" applyFont="1" applyBorder="1" applyAlignment="1">
      <alignment/>
    </xf>
    <xf numFmtId="43" fontId="0" fillId="0" borderId="0" xfId="60" applyFont="1" applyAlignment="1">
      <alignment/>
    </xf>
    <xf numFmtId="8" fontId="0" fillId="0" borderId="13" xfId="0" applyNumberFormat="1" applyBorder="1" applyAlignment="1">
      <alignment/>
    </xf>
    <xf numFmtId="8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8" fontId="0" fillId="0" borderId="0" xfId="0" applyNumberFormat="1" applyAlignment="1">
      <alignment/>
    </xf>
    <xf numFmtId="44" fontId="0" fillId="0" borderId="0" xfId="43" applyFont="1" applyFill="1" applyBorder="1" applyAlignment="1" applyProtection="1">
      <alignment/>
      <protection/>
    </xf>
    <xf numFmtId="10" fontId="0" fillId="0" borderId="0" xfId="57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9" fontId="0" fillId="0" borderId="0" xfId="57" applyAlignment="1">
      <alignment/>
    </xf>
    <xf numFmtId="9" fontId="0" fillId="0" borderId="0" xfId="0" applyNumberFormat="1" applyAlignment="1">
      <alignment horizontal="center"/>
    </xf>
    <xf numFmtId="44" fontId="0" fillId="0" borderId="0" xfId="43" applyFont="1" applyFill="1" applyBorder="1" applyAlignment="1" applyProtection="1">
      <alignment horizontal="center"/>
      <protection/>
    </xf>
    <xf numFmtId="8" fontId="0" fillId="0" borderId="0" xfId="57" applyNumberFormat="1" applyFont="1" applyFill="1" applyBorder="1" applyAlignment="1" applyProtection="1">
      <alignment/>
      <protection/>
    </xf>
    <xf numFmtId="10" fontId="0" fillId="0" borderId="15" xfId="0" applyNumberForma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8" fontId="0" fillId="0" borderId="0" xfId="60" applyNumberFormat="1" applyFont="1" applyFill="1" applyBorder="1" applyAlignment="1" applyProtection="1">
      <alignment/>
      <protection/>
    </xf>
    <xf numFmtId="169" fontId="0" fillId="0" borderId="0" xfId="0" applyNumberFormat="1" applyAlignment="1">
      <alignment/>
    </xf>
    <xf numFmtId="0" fontId="0" fillId="0" borderId="16" xfId="0" applyBorder="1" applyAlignment="1">
      <alignment horizontal="center"/>
    </xf>
    <xf numFmtId="165" fontId="0" fillId="0" borderId="16" xfId="0" applyNumberFormat="1" applyBorder="1" applyAlignment="1">
      <alignment/>
    </xf>
    <xf numFmtId="168" fontId="0" fillId="0" borderId="16" xfId="60" applyNumberFormat="1" applyFont="1" applyFill="1" applyBorder="1" applyAlignment="1" applyProtection="1">
      <alignment/>
      <protection/>
    </xf>
    <xf numFmtId="8" fontId="0" fillId="0" borderId="16" xfId="0" applyNumberFormat="1" applyBorder="1" applyAlignment="1">
      <alignment/>
    </xf>
    <xf numFmtId="8" fontId="0" fillId="24" borderId="16" xfId="0" applyNumberFormat="1" applyFill="1" applyBorder="1" applyAlignment="1">
      <alignment/>
    </xf>
    <xf numFmtId="169" fontId="0" fillId="0" borderId="16" xfId="0" applyNumberFormat="1" applyBorder="1" applyAlignment="1">
      <alignment/>
    </xf>
    <xf numFmtId="44" fontId="0" fillId="0" borderId="16" xfId="43" applyFont="1" applyFill="1" applyBorder="1" applyAlignment="1" applyProtection="1">
      <alignment/>
      <protection/>
    </xf>
    <xf numFmtId="43" fontId="0" fillId="0" borderId="0" xfId="60" applyFont="1" applyFill="1" applyBorder="1" applyAlignment="1" applyProtection="1">
      <alignment/>
      <protection/>
    </xf>
    <xf numFmtId="44" fontId="0" fillId="0" borderId="0" xfId="43" applyAlignment="1">
      <alignment/>
    </xf>
    <xf numFmtId="0" fontId="0" fillId="0" borderId="17" xfId="0" applyFill="1" applyBorder="1" applyAlignment="1">
      <alignment horizontal="center" vertical="center" wrapText="1"/>
    </xf>
    <xf numFmtId="10" fontId="0" fillId="25" borderId="0" xfId="0" applyNumberFormat="1" applyFill="1" applyAlignment="1">
      <alignment/>
    </xf>
    <xf numFmtId="8" fontId="0" fillId="24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29"/>
  <sheetViews>
    <sheetView zoomScale="115" zoomScaleNormal="115" zoomScalePageLayoutView="0" workbookViewId="0" topLeftCell="D1">
      <selection activeCell="L9" sqref="L9"/>
    </sheetView>
  </sheetViews>
  <sheetFormatPr defaultColWidth="9.140625" defaultRowHeight="15"/>
  <cols>
    <col min="3" max="3" width="10.140625" style="0" bestFit="1" customWidth="1"/>
    <col min="4" max="4" width="15.8515625" style="0" customWidth="1"/>
    <col min="5" max="5" width="11.140625" style="0" bestFit="1" customWidth="1"/>
    <col min="6" max="6" width="15.8515625" style="0" customWidth="1"/>
    <col min="7" max="7" width="12.421875" style="0" customWidth="1"/>
    <col min="8" max="8" width="13.140625" style="0" customWidth="1"/>
    <col min="9" max="10" width="14.00390625" style="0" customWidth="1"/>
    <col min="11" max="11" width="13.28125" style="0" customWidth="1"/>
    <col min="12" max="12" width="11.140625" style="0" bestFit="1" customWidth="1"/>
  </cols>
  <sheetData>
    <row r="2" spans="3:11" ht="14.25">
      <c r="C2" s="10" t="s">
        <v>17</v>
      </c>
      <c r="D2" s="10"/>
      <c r="E2" s="10"/>
      <c r="F2" s="10"/>
      <c r="H2" s="10" t="s">
        <v>0</v>
      </c>
      <c r="I2" s="10"/>
      <c r="J2" s="10"/>
      <c r="K2" s="10"/>
    </row>
    <row r="3" spans="3:12" ht="14.25">
      <c r="C3" t="s">
        <v>18</v>
      </c>
      <c r="F3" s="1">
        <v>41830</v>
      </c>
      <c r="J3" s="9" t="s">
        <v>1</v>
      </c>
      <c r="K3" s="4">
        <f>-PMT(F6/12,F5,F4)</f>
        <v>11001.599148747568</v>
      </c>
      <c r="L3" s="4"/>
    </row>
    <row r="4" spans="3:11" ht="14.25">
      <c r="C4" t="s">
        <v>19</v>
      </c>
      <c r="F4" s="7">
        <v>120000</v>
      </c>
      <c r="J4" s="9" t="s">
        <v>15</v>
      </c>
      <c r="K4" s="8">
        <f>_XLL.ЧИСТВНДОХ(K15:K27,D15:D27)</f>
        <v>0.38955262303352356</v>
      </c>
    </row>
    <row r="5" spans="3:12" ht="14.25">
      <c r="C5" t="s">
        <v>21</v>
      </c>
      <c r="F5">
        <v>12</v>
      </c>
      <c r="J5" s="9" t="s">
        <v>16</v>
      </c>
      <c r="K5" s="3">
        <f>RATE(F5,-(K28+F4)/F5,F4)*12</f>
        <v>0.3349652333895586</v>
      </c>
      <c r="L5" s="3"/>
    </row>
    <row r="6" spans="3:11" ht="14.25">
      <c r="C6" t="s">
        <v>20</v>
      </c>
      <c r="F6" s="2">
        <v>0.18</v>
      </c>
      <c r="J6" s="9" t="s">
        <v>13</v>
      </c>
      <c r="K6" s="4">
        <f>K28</f>
        <v>22869.690000000028</v>
      </c>
    </row>
    <row r="7" spans="3:11" ht="14.25">
      <c r="C7" t="s">
        <v>22</v>
      </c>
      <c r="F7" s="7">
        <f>0.75%*F4</f>
        <v>900</v>
      </c>
      <c r="J7" s="9" t="s">
        <v>14</v>
      </c>
      <c r="K7" s="8">
        <f>K6/F4</f>
        <v>0.19058075000000024</v>
      </c>
    </row>
    <row r="8" spans="6:11" ht="14.25">
      <c r="F8" s="7"/>
      <c r="J8" s="9"/>
      <c r="K8" s="23"/>
    </row>
    <row r="9" ht="14.25">
      <c r="C9" s="3"/>
    </row>
    <row r="10" spans="3:11" ht="14.25">
      <c r="C10" t="s">
        <v>23</v>
      </c>
      <c r="K10" s="7">
        <f>F4</f>
        <v>120000</v>
      </c>
    </row>
    <row r="11" ht="14.25">
      <c r="C11" s="3"/>
    </row>
    <row r="12" ht="14.25">
      <c r="C12" s="3"/>
    </row>
    <row r="13" spans="3:11" ht="15">
      <c r="C13" s="20"/>
      <c r="D13" s="10"/>
      <c r="E13" s="10"/>
      <c r="F13" s="21" t="s">
        <v>12</v>
      </c>
      <c r="G13" s="10"/>
      <c r="H13" s="10"/>
      <c r="I13" s="10"/>
      <c r="J13" s="10"/>
      <c r="K13" s="10"/>
    </row>
    <row r="14" spans="3:11" ht="57.75" thickBot="1">
      <c r="C14" s="15" t="s">
        <v>10</v>
      </c>
      <c r="D14" s="15" t="s">
        <v>2</v>
      </c>
      <c r="E14" s="15" t="s">
        <v>3</v>
      </c>
      <c r="F14" s="15" t="s">
        <v>4</v>
      </c>
      <c r="G14" s="15" t="s">
        <v>5</v>
      </c>
      <c r="H14" s="15" t="s">
        <v>6</v>
      </c>
      <c r="I14" s="15" t="s">
        <v>7</v>
      </c>
      <c r="J14" s="15" t="s">
        <v>8</v>
      </c>
      <c r="K14" s="15" t="s">
        <v>9</v>
      </c>
    </row>
    <row r="15" spans="3:11" ht="14.25">
      <c r="C15" s="18"/>
      <c r="D15" s="1">
        <f>F3</f>
        <v>41830</v>
      </c>
      <c r="E15" s="1"/>
      <c r="F15" s="4">
        <f>F4</f>
        <v>120000</v>
      </c>
      <c r="I15" s="4">
        <f>-F15</f>
        <v>-120000</v>
      </c>
      <c r="K15" s="4">
        <f>I15</f>
        <v>-120000</v>
      </c>
    </row>
    <row r="16" spans="3:11" ht="14.25">
      <c r="C16" s="18">
        <v>1</v>
      </c>
      <c r="D16" s="1">
        <f>_XLL.ДАТАМЕС($D$15,C16)</f>
        <v>41861</v>
      </c>
      <c r="E16" s="16">
        <f>D16-D15</f>
        <v>31</v>
      </c>
      <c r="F16" s="4">
        <f>F15</f>
        <v>120000</v>
      </c>
      <c r="G16" s="4">
        <f>I16-H16</f>
        <v>9167.08</v>
      </c>
      <c r="H16" s="6">
        <f>ROUND(F16*($F$6/365*E16),2)</f>
        <v>1834.52</v>
      </c>
      <c r="I16" s="4">
        <f>ROUND(K3,2)</f>
        <v>11001.6</v>
      </c>
      <c r="J16" s="7">
        <f>F7</f>
        <v>900</v>
      </c>
      <c r="K16" s="4">
        <f>J16+I16</f>
        <v>11901.6</v>
      </c>
    </row>
    <row r="17" spans="3:11" ht="14.25">
      <c r="C17" s="18">
        <v>2</v>
      </c>
      <c r="D17" s="1">
        <f>_XLL.ДАТАМЕС($D$15,C17)</f>
        <v>41892</v>
      </c>
      <c r="E17" s="16">
        <f aca="true" t="shared" si="0" ref="E17:E26">D17-D16</f>
        <v>31</v>
      </c>
      <c r="F17" s="4">
        <f>F16-G16</f>
        <v>110832.92</v>
      </c>
      <c r="G17" s="4">
        <f aca="true" t="shared" si="1" ref="G17:G26">I17-H17</f>
        <v>9307.220000000001</v>
      </c>
      <c r="H17" s="6">
        <f aca="true" t="shared" si="2" ref="H17:H27">ROUND(F17*($F$6/365*E17),2)</f>
        <v>1694.38</v>
      </c>
      <c r="I17" s="4">
        <f aca="true" t="shared" si="3" ref="I17:I26">I16</f>
        <v>11001.6</v>
      </c>
      <c r="J17" s="7">
        <f>J16</f>
        <v>900</v>
      </c>
      <c r="K17" s="4">
        <f aca="true" t="shared" si="4" ref="K17:K27">J17+I17</f>
        <v>11901.6</v>
      </c>
    </row>
    <row r="18" spans="3:11" ht="14.25">
      <c r="C18" s="18">
        <v>3</v>
      </c>
      <c r="D18" s="1">
        <f>_XLL.ДАТАМЕС($D$15,C18)</f>
        <v>41922</v>
      </c>
      <c r="E18" s="16">
        <f t="shared" si="0"/>
        <v>30</v>
      </c>
      <c r="F18" s="4">
        <f aca="true" t="shared" si="5" ref="F18:F26">F17-G17</f>
        <v>101525.7</v>
      </c>
      <c r="G18" s="4">
        <f t="shared" si="1"/>
        <v>9499.58</v>
      </c>
      <c r="H18" s="6">
        <f t="shared" si="2"/>
        <v>1502.02</v>
      </c>
      <c r="I18" s="4">
        <f t="shared" si="3"/>
        <v>11001.6</v>
      </c>
      <c r="J18" s="7">
        <f aca="true" t="shared" si="6" ref="J18:J26">J17</f>
        <v>900</v>
      </c>
      <c r="K18" s="4">
        <f t="shared" si="4"/>
        <v>11901.6</v>
      </c>
    </row>
    <row r="19" spans="3:11" ht="14.25">
      <c r="C19" s="18">
        <v>4</v>
      </c>
      <c r="D19" s="1">
        <f>_XLL.ДАТАМЕС($D$15,C19)</f>
        <v>41953</v>
      </c>
      <c r="E19" s="16">
        <f t="shared" si="0"/>
        <v>31</v>
      </c>
      <c r="F19" s="4">
        <f t="shared" si="5"/>
        <v>92026.12</v>
      </c>
      <c r="G19" s="4">
        <f t="shared" si="1"/>
        <v>9594.73</v>
      </c>
      <c r="H19" s="6">
        <f t="shared" si="2"/>
        <v>1406.87</v>
      </c>
      <c r="I19" s="4">
        <f t="shared" si="3"/>
        <v>11001.6</v>
      </c>
      <c r="J19" s="7">
        <f t="shared" si="6"/>
        <v>900</v>
      </c>
      <c r="K19" s="4">
        <f t="shared" si="4"/>
        <v>11901.6</v>
      </c>
    </row>
    <row r="20" spans="3:11" ht="14.25">
      <c r="C20" s="18">
        <v>5</v>
      </c>
      <c r="D20" s="1">
        <f>_XLL.ДАТАМЕС($D$15,C20)</f>
        <v>41983</v>
      </c>
      <c r="E20" s="16">
        <f t="shared" si="0"/>
        <v>30</v>
      </c>
      <c r="F20" s="4">
        <f t="shared" si="5"/>
        <v>82431.39</v>
      </c>
      <c r="G20" s="4">
        <f t="shared" si="1"/>
        <v>9782.07</v>
      </c>
      <c r="H20" s="6">
        <f t="shared" si="2"/>
        <v>1219.53</v>
      </c>
      <c r="I20" s="4">
        <f t="shared" si="3"/>
        <v>11001.6</v>
      </c>
      <c r="J20" s="7">
        <f t="shared" si="6"/>
        <v>900</v>
      </c>
      <c r="K20" s="4">
        <f t="shared" si="4"/>
        <v>11901.6</v>
      </c>
    </row>
    <row r="21" spans="3:11" ht="14.25">
      <c r="C21" s="18">
        <v>6</v>
      </c>
      <c r="D21" s="1">
        <f>_XLL.ДАТАМЕС($D$15,C21)</f>
        <v>42014</v>
      </c>
      <c r="E21" s="16">
        <f t="shared" si="0"/>
        <v>31</v>
      </c>
      <c r="F21" s="4">
        <f t="shared" si="5"/>
        <v>72649.32</v>
      </c>
      <c r="G21" s="4">
        <f t="shared" si="1"/>
        <v>9890.960000000001</v>
      </c>
      <c r="H21" s="6">
        <f t="shared" si="2"/>
        <v>1110.64</v>
      </c>
      <c r="I21" s="4">
        <f t="shared" si="3"/>
        <v>11001.6</v>
      </c>
      <c r="J21" s="7">
        <f t="shared" si="6"/>
        <v>900</v>
      </c>
      <c r="K21" s="4">
        <f t="shared" si="4"/>
        <v>11901.6</v>
      </c>
    </row>
    <row r="22" spans="3:11" ht="14.25">
      <c r="C22" s="18">
        <v>7</v>
      </c>
      <c r="D22" s="1">
        <f>_XLL.ДАТАМЕС($D$15,C22)</f>
        <v>42045</v>
      </c>
      <c r="E22" s="16">
        <f t="shared" si="0"/>
        <v>31</v>
      </c>
      <c r="F22" s="4">
        <f t="shared" si="5"/>
        <v>62758.36000000001</v>
      </c>
      <c r="G22" s="4">
        <f t="shared" si="1"/>
        <v>10042.17</v>
      </c>
      <c r="H22" s="6">
        <f t="shared" si="2"/>
        <v>959.43</v>
      </c>
      <c r="I22" s="4">
        <f t="shared" si="3"/>
        <v>11001.6</v>
      </c>
      <c r="J22" s="7">
        <f t="shared" si="6"/>
        <v>900</v>
      </c>
      <c r="K22" s="4">
        <f t="shared" si="4"/>
        <v>11901.6</v>
      </c>
    </row>
    <row r="23" spans="3:11" ht="14.25">
      <c r="C23" s="18">
        <v>8</v>
      </c>
      <c r="D23" s="1">
        <f>_XLL.ДАТАМЕС($D$15,C23)</f>
        <v>42073</v>
      </c>
      <c r="E23" s="16">
        <f t="shared" si="0"/>
        <v>28</v>
      </c>
      <c r="F23" s="4">
        <f t="shared" si="5"/>
        <v>52716.19000000001</v>
      </c>
      <c r="G23" s="4">
        <f t="shared" si="1"/>
        <v>10273.68</v>
      </c>
      <c r="H23" s="6">
        <f t="shared" si="2"/>
        <v>727.92</v>
      </c>
      <c r="I23" s="4">
        <f t="shared" si="3"/>
        <v>11001.6</v>
      </c>
      <c r="J23" s="7">
        <f t="shared" si="6"/>
        <v>900</v>
      </c>
      <c r="K23" s="4">
        <f t="shared" si="4"/>
        <v>11901.6</v>
      </c>
    </row>
    <row r="24" spans="3:11" ht="14.25">
      <c r="C24" s="18">
        <v>9</v>
      </c>
      <c r="D24" s="1">
        <f>_XLL.ДАТАМЕС($D$15,C24)</f>
        <v>42104</v>
      </c>
      <c r="E24" s="16">
        <f t="shared" si="0"/>
        <v>31</v>
      </c>
      <c r="F24" s="4">
        <f t="shared" si="5"/>
        <v>42442.51000000001</v>
      </c>
      <c r="G24" s="4">
        <f t="shared" si="1"/>
        <v>10352.75</v>
      </c>
      <c r="H24" s="6">
        <f t="shared" si="2"/>
        <v>648.85</v>
      </c>
      <c r="I24" s="4">
        <f t="shared" si="3"/>
        <v>11001.6</v>
      </c>
      <c r="J24" s="7">
        <f t="shared" si="6"/>
        <v>900</v>
      </c>
      <c r="K24" s="4">
        <f t="shared" si="4"/>
        <v>11901.6</v>
      </c>
    </row>
    <row r="25" spans="3:11" ht="14.25">
      <c r="C25" s="18">
        <v>10</v>
      </c>
      <c r="D25" s="1">
        <f>_XLL.ДАТАМЕС($D$15,C25)</f>
        <v>42134</v>
      </c>
      <c r="E25" s="16">
        <f t="shared" si="0"/>
        <v>30</v>
      </c>
      <c r="F25" s="4">
        <f t="shared" si="5"/>
        <v>32089.76000000001</v>
      </c>
      <c r="G25" s="4">
        <f t="shared" si="1"/>
        <v>10526.85</v>
      </c>
      <c r="H25" s="6">
        <f t="shared" si="2"/>
        <v>474.75</v>
      </c>
      <c r="I25" s="4">
        <f t="shared" si="3"/>
        <v>11001.6</v>
      </c>
      <c r="J25" s="7">
        <f t="shared" si="6"/>
        <v>900</v>
      </c>
      <c r="K25" s="4">
        <f t="shared" si="4"/>
        <v>11901.6</v>
      </c>
    </row>
    <row r="26" spans="3:11" ht="14.25">
      <c r="C26" s="18">
        <v>11</v>
      </c>
      <c r="D26" s="1">
        <f>_XLL.ДАТАМЕС($D$15,C26)</f>
        <v>42165</v>
      </c>
      <c r="E26" s="16">
        <f t="shared" si="0"/>
        <v>31</v>
      </c>
      <c r="F26" s="4">
        <f t="shared" si="5"/>
        <v>21562.91000000001</v>
      </c>
      <c r="G26" s="4">
        <f t="shared" si="1"/>
        <v>10671.95</v>
      </c>
      <c r="H26" s="6">
        <f t="shared" si="2"/>
        <v>329.65</v>
      </c>
      <c r="I26" s="4">
        <f t="shared" si="3"/>
        <v>11001.6</v>
      </c>
      <c r="J26" s="7">
        <f t="shared" si="6"/>
        <v>900</v>
      </c>
      <c r="K26" s="4">
        <f t="shared" si="4"/>
        <v>11901.6</v>
      </c>
    </row>
    <row r="27" spans="3:11" ht="15" thickBot="1">
      <c r="C27" s="19">
        <v>12</v>
      </c>
      <c r="D27" s="11">
        <f>_XLL.ДАТАМЕС($D$15,C27)</f>
        <v>42195</v>
      </c>
      <c r="E27" s="17">
        <f>D27-D26</f>
        <v>30</v>
      </c>
      <c r="F27" s="12">
        <f>F26-G26</f>
        <v>10890.96000000001</v>
      </c>
      <c r="G27" s="12">
        <f>F27</f>
        <v>10890.96000000001</v>
      </c>
      <c r="H27" s="13">
        <f t="shared" si="2"/>
        <v>161.13</v>
      </c>
      <c r="I27" s="22">
        <f>G27+H27</f>
        <v>11052.09000000001</v>
      </c>
      <c r="J27" s="14">
        <f>J26</f>
        <v>900</v>
      </c>
      <c r="K27" s="12">
        <f t="shared" si="4"/>
        <v>11952.09000000001</v>
      </c>
    </row>
    <row r="28" spans="3:11" ht="15" thickTop="1">
      <c r="C28" t="s">
        <v>11</v>
      </c>
      <c r="D28" s="5">
        <f>D27-D15</f>
        <v>365</v>
      </c>
      <c r="E28" s="6">
        <f>SUM(E16:E27)</f>
        <v>365</v>
      </c>
      <c r="G28" s="4">
        <f>SUM(G16:G27)</f>
        <v>120000</v>
      </c>
      <c r="H28" s="6">
        <f>SUM(H16:H27)</f>
        <v>12069.689999999999</v>
      </c>
      <c r="I28" s="4">
        <f>SUM(I15:I27)</f>
        <v>12069.690000000026</v>
      </c>
      <c r="J28" s="7">
        <f>SUM(J16:J27)</f>
        <v>10800</v>
      </c>
      <c r="K28" s="4">
        <f>SUM(K15:K27)</f>
        <v>22869.690000000028</v>
      </c>
    </row>
    <row r="29" ht="14.25">
      <c r="E2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C2">
      <selection activeCell="M9" sqref="M9"/>
    </sheetView>
  </sheetViews>
  <sheetFormatPr defaultColWidth="9.140625" defaultRowHeight="15"/>
  <cols>
    <col min="1" max="2" width="8.57421875" style="34" customWidth="1"/>
    <col min="3" max="3" width="10.140625" style="34" customWidth="1"/>
    <col min="4" max="4" width="17.00390625" style="34" bestFit="1" customWidth="1"/>
    <col min="5" max="5" width="11.140625" style="34" customWidth="1"/>
    <col min="6" max="6" width="15.8515625" style="34" customWidth="1"/>
    <col min="7" max="7" width="12.421875" style="34" customWidth="1"/>
    <col min="8" max="8" width="13.140625" style="34" customWidth="1"/>
    <col min="9" max="9" width="14.00390625" style="34" customWidth="1"/>
    <col min="10" max="10" width="17.00390625" style="34" customWidth="1"/>
    <col min="11" max="11" width="13.28125" style="34" customWidth="1"/>
    <col min="12" max="12" width="15.140625" style="34" customWidth="1"/>
    <col min="13" max="13" width="11.7109375" style="34" bestFit="1" customWidth="1"/>
    <col min="14" max="16384" width="8.57421875" style="34" customWidth="1"/>
  </cols>
  <sheetData>
    <row r="1" ht="14.25">
      <c r="A1" s="33" t="s">
        <v>24</v>
      </c>
    </row>
    <row r="2" spans="3:11" ht="15" thickBot="1">
      <c r="C2" s="35" t="s">
        <v>17</v>
      </c>
      <c r="D2" s="35"/>
      <c r="E2" s="35"/>
      <c r="F2" s="35"/>
      <c r="H2" s="35" t="s">
        <v>0</v>
      </c>
      <c r="I2" s="35"/>
      <c r="J2" s="35"/>
      <c r="K2" s="35"/>
    </row>
    <row r="3" spans="3:11" ht="15" thickTop="1">
      <c r="C3" s="34" t="s">
        <v>18</v>
      </c>
      <c r="F3" s="36">
        <v>41821</v>
      </c>
      <c r="J3" s="37" t="s">
        <v>1</v>
      </c>
      <c r="K3" s="38">
        <f>-PMT(F7/12,F5-F6,F4)</f>
        <v>37513.25579893472</v>
      </c>
    </row>
    <row r="4" spans="3:13" ht="14.25">
      <c r="C4" s="34" t="s">
        <v>19</v>
      </c>
      <c r="F4" s="39">
        <v>420000</v>
      </c>
      <c r="J4" s="37" t="s">
        <v>15</v>
      </c>
      <c r="K4" s="40">
        <f>_XLL.ЧИСТВНДОХ(K16:K31,D16:D31)</f>
        <v>0.41206060051918025</v>
      </c>
      <c r="M4" s="38"/>
    </row>
    <row r="5" spans="3:12" ht="14.25">
      <c r="C5" s="34" t="s">
        <v>21</v>
      </c>
      <c r="F5" s="41">
        <v>15</v>
      </c>
      <c r="J5" s="37" t="s">
        <v>16</v>
      </c>
      <c r="K5" s="42">
        <f>RATE(F5,-(K32+F4)/(F5),F4)*12</f>
        <v>0.396835323561871</v>
      </c>
      <c r="L5" s="43"/>
    </row>
    <row r="6" spans="3:11" ht="14.25">
      <c r="C6" s="34" t="s">
        <v>25</v>
      </c>
      <c r="F6" s="41">
        <v>3</v>
      </c>
      <c r="J6" s="37" t="s">
        <v>13</v>
      </c>
      <c r="K6" s="38">
        <f>K32</f>
        <v>119515.5500000001</v>
      </c>
    </row>
    <row r="7" spans="3:11" ht="14.25">
      <c r="C7" s="34" t="s">
        <v>20</v>
      </c>
      <c r="F7" s="44">
        <v>0.13</v>
      </c>
      <c r="J7" s="37" t="s">
        <v>14</v>
      </c>
      <c r="K7" s="40">
        <f>K6/F4</f>
        <v>0.2845608333333336</v>
      </c>
    </row>
    <row r="8" spans="3:6" ht="14.25">
      <c r="C8" s="34" t="s">
        <v>22</v>
      </c>
      <c r="F8" s="45">
        <f>1%*F4</f>
        <v>4200</v>
      </c>
    </row>
    <row r="9" spans="3:11" ht="14.25">
      <c r="C9" s="34" t="s">
        <v>26</v>
      </c>
      <c r="F9" s="39">
        <f>F4*3%</f>
        <v>12600</v>
      </c>
      <c r="J9" s="37"/>
      <c r="K9" s="46"/>
    </row>
    <row r="10" ht="14.25">
      <c r="C10" s="42"/>
    </row>
    <row r="11" spans="3:11" ht="14.25">
      <c r="C11" s="34" t="s">
        <v>23</v>
      </c>
      <c r="K11" s="39">
        <f>F4</f>
        <v>420000</v>
      </c>
    </row>
    <row r="12" ht="14.25">
      <c r="C12" s="42"/>
    </row>
    <row r="13" ht="14.25">
      <c r="C13" s="42"/>
    </row>
    <row r="14" spans="3:11" ht="15.75" thickBot="1">
      <c r="C14" s="47"/>
      <c r="D14" s="48"/>
      <c r="E14" s="48"/>
      <c r="F14" s="49" t="s">
        <v>27</v>
      </c>
      <c r="G14" s="48"/>
      <c r="H14" s="48"/>
      <c r="I14" s="48"/>
      <c r="J14" s="48"/>
      <c r="K14" s="48"/>
    </row>
    <row r="15" spans="3:11" ht="57.75" thickBot="1">
      <c r="C15" s="50" t="s">
        <v>10</v>
      </c>
      <c r="D15" s="50" t="s">
        <v>2</v>
      </c>
      <c r="E15" s="50" t="s">
        <v>3</v>
      </c>
      <c r="F15" s="50" t="s">
        <v>4</v>
      </c>
      <c r="G15" s="50" t="s">
        <v>5</v>
      </c>
      <c r="H15" s="50" t="s">
        <v>6</v>
      </c>
      <c r="I15" s="50" t="s">
        <v>7</v>
      </c>
      <c r="J15" s="51" t="s">
        <v>28</v>
      </c>
      <c r="K15" s="50" t="s">
        <v>9</v>
      </c>
    </row>
    <row r="16" spans="3:11" ht="14.25">
      <c r="C16" s="41"/>
      <c r="D16" s="36">
        <f>F3</f>
        <v>41821</v>
      </c>
      <c r="E16" s="52"/>
      <c r="F16" s="38">
        <f>F4</f>
        <v>420000</v>
      </c>
      <c r="I16" s="38">
        <f>-F4</f>
        <v>-420000</v>
      </c>
      <c r="J16" s="53">
        <f>F9</f>
        <v>12600</v>
      </c>
      <c r="K16" s="38">
        <f>J16+I16</f>
        <v>-407400</v>
      </c>
    </row>
    <row r="17" spans="3:11" ht="14.25">
      <c r="C17" s="41">
        <v>1</v>
      </c>
      <c r="D17" s="36">
        <f>_XLL.ДАТАМЕС($D$16,C17)</f>
        <v>41852</v>
      </c>
      <c r="E17" s="54">
        <f>D17-D16</f>
        <v>31</v>
      </c>
      <c r="F17" s="38">
        <f>F16</f>
        <v>420000</v>
      </c>
      <c r="G17" s="38">
        <v>0</v>
      </c>
      <c r="H17" s="55">
        <f>ROUND(F17*($F$7/365*E17),2)</f>
        <v>4637.26</v>
      </c>
      <c r="I17" s="38">
        <f>H17</f>
        <v>4637.26</v>
      </c>
      <c r="J17" s="39">
        <f>F8</f>
        <v>4200</v>
      </c>
      <c r="K17" s="38">
        <f>J17+I17</f>
        <v>8837.26</v>
      </c>
    </row>
    <row r="18" spans="3:11" ht="14.25">
      <c r="C18" s="41">
        <v>2</v>
      </c>
      <c r="D18" s="36">
        <f>_XLL.ДАТАМЕС($D$16,C18)</f>
        <v>41883</v>
      </c>
      <c r="E18" s="54">
        <f aca="true" t="shared" si="0" ref="E18:E31">D18-D17</f>
        <v>31</v>
      </c>
      <c r="F18" s="38">
        <f>F17-G17</f>
        <v>420000</v>
      </c>
      <c r="G18" s="38">
        <v>0</v>
      </c>
      <c r="H18" s="55">
        <f aca="true" t="shared" si="1" ref="H18:H31">ROUND(F18*($F$7/365*E18),2)</f>
        <v>4637.26</v>
      </c>
      <c r="I18" s="38">
        <f>H18</f>
        <v>4637.26</v>
      </c>
      <c r="J18" s="39">
        <f>J17</f>
        <v>4200</v>
      </c>
      <c r="K18" s="38">
        <f aca="true" t="shared" si="2" ref="K18:K31">J18+I18</f>
        <v>8837.26</v>
      </c>
    </row>
    <row r="19" spans="3:11" ht="14.25">
      <c r="C19" s="41">
        <v>3</v>
      </c>
      <c r="D19" s="36">
        <f>_XLL.ДАТАМЕС($D$16,C19)</f>
        <v>41913</v>
      </c>
      <c r="E19" s="54">
        <f t="shared" si="0"/>
        <v>30</v>
      </c>
      <c r="F19" s="38">
        <f aca="true" t="shared" si="3" ref="F19:F31">F18-G18</f>
        <v>420000</v>
      </c>
      <c r="G19" s="38">
        <v>0</v>
      </c>
      <c r="H19" s="55">
        <f t="shared" si="1"/>
        <v>4487.67</v>
      </c>
      <c r="I19" s="38">
        <f>H19</f>
        <v>4487.67</v>
      </c>
      <c r="J19" s="39">
        <f aca="true" t="shared" si="4" ref="J19:J31">J18</f>
        <v>4200</v>
      </c>
      <c r="K19" s="38">
        <f t="shared" si="2"/>
        <v>8687.67</v>
      </c>
    </row>
    <row r="20" spans="3:11" ht="14.25">
      <c r="C20" s="41">
        <v>4</v>
      </c>
      <c r="D20" s="36">
        <f>_XLL.ДАТАМЕС($D$16,C20)</f>
        <v>41944</v>
      </c>
      <c r="E20" s="54">
        <f t="shared" si="0"/>
        <v>31</v>
      </c>
      <c r="F20" s="38">
        <f t="shared" si="3"/>
        <v>420000</v>
      </c>
      <c r="G20" s="38">
        <f aca="true" t="shared" si="5" ref="G20:G30">I20-H20</f>
        <v>32875.99579893472</v>
      </c>
      <c r="H20" s="55">
        <f t="shared" si="1"/>
        <v>4637.26</v>
      </c>
      <c r="I20" s="38">
        <f>K3</f>
        <v>37513.25579893472</v>
      </c>
      <c r="J20" s="39">
        <f t="shared" si="4"/>
        <v>4200</v>
      </c>
      <c r="K20" s="38">
        <f>J20+I20</f>
        <v>41713.25579893472</v>
      </c>
    </row>
    <row r="21" spans="3:11" ht="14.25">
      <c r="C21" s="41">
        <v>5</v>
      </c>
      <c r="D21" s="36">
        <f>_XLL.ДАТАМЕС($D$16,C21)</f>
        <v>41974</v>
      </c>
      <c r="E21" s="54">
        <f t="shared" si="0"/>
        <v>30</v>
      </c>
      <c r="F21" s="38">
        <f t="shared" si="3"/>
        <v>387124.0042010653</v>
      </c>
      <c r="G21" s="38">
        <f t="shared" si="5"/>
        <v>33376.86579893472</v>
      </c>
      <c r="H21" s="55">
        <f t="shared" si="1"/>
        <v>4136.39</v>
      </c>
      <c r="I21" s="38">
        <f aca="true" t="shared" si="6" ref="I21:I30">I20</f>
        <v>37513.25579893472</v>
      </c>
      <c r="J21" s="39">
        <f t="shared" si="4"/>
        <v>4200</v>
      </c>
      <c r="K21" s="38">
        <f t="shared" si="2"/>
        <v>41713.25579893472</v>
      </c>
    </row>
    <row r="22" spans="3:11" ht="14.25">
      <c r="C22" s="41">
        <v>6</v>
      </c>
      <c r="D22" s="36">
        <f>_XLL.ДАТАМЕС($D$16,C22)</f>
        <v>42005</v>
      </c>
      <c r="E22" s="54">
        <f t="shared" si="0"/>
        <v>31</v>
      </c>
      <c r="F22" s="38">
        <f t="shared" si="3"/>
        <v>353747.1384021306</v>
      </c>
      <c r="G22" s="38">
        <f t="shared" si="5"/>
        <v>33607.49579893472</v>
      </c>
      <c r="H22" s="55">
        <f t="shared" si="1"/>
        <v>3905.76</v>
      </c>
      <c r="I22" s="38">
        <f t="shared" si="6"/>
        <v>37513.25579893472</v>
      </c>
      <c r="J22" s="39">
        <f t="shared" si="4"/>
        <v>4200</v>
      </c>
      <c r="K22" s="38">
        <f t="shared" si="2"/>
        <v>41713.25579893472</v>
      </c>
    </row>
    <row r="23" spans="3:11" ht="14.25">
      <c r="C23" s="41">
        <v>7</v>
      </c>
      <c r="D23" s="36">
        <f>_XLL.ДАТАМЕС($D$16,C23)</f>
        <v>42036</v>
      </c>
      <c r="E23" s="54">
        <f t="shared" si="0"/>
        <v>31</v>
      </c>
      <c r="F23" s="38">
        <f t="shared" si="3"/>
        <v>320139.64260319585</v>
      </c>
      <c r="G23" s="38">
        <f t="shared" si="5"/>
        <v>33978.56579893472</v>
      </c>
      <c r="H23" s="55">
        <f t="shared" si="1"/>
        <v>3534.69</v>
      </c>
      <c r="I23" s="38">
        <f t="shared" si="6"/>
        <v>37513.25579893472</v>
      </c>
      <c r="J23" s="39">
        <f t="shared" si="4"/>
        <v>4200</v>
      </c>
      <c r="K23" s="38">
        <f t="shared" si="2"/>
        <v>41713.25579893472</v>
      </c>
    </row>
    <row r="24" spans="3:11" ht="14.25">
      <c r="C24" s="41">
        <v>8</v>
      </c>
      <c r="D24" s="36">
        <f>_XLL.ДАТАМЕС($D$16,C24)</f>
        <v>42064</v>
      </c>
      <c r="E24" s="54">
        <f t="shared" si="0"/>
        <v>28</v>
      </c>
      <c r="F24" s="38">
        <f t="shared" si="3"/>
        <v>286161.07680426113</v>
      </c>
      <c r="G24" s="38">
        <f t="shared" si="5"/>
        <v>34659.48579893472</v>
      </c>
      <c r="H24" s="55">
        <f t="shared" si="1"/>
        <v>2853.77</v>
      </c>
      <c r="I24" s="38">
        <f t="shared" si="6"/>
        <v>37513.25579893472</v>
      </c>
      <c r="J24" s="39">
        <f t="shared" si="4"/>
        <v>4200</v>
      </c>
      <c r="K24" s="38">
        <f t="shared" si="2"/>
        <v>41713.25579893472</v>
      </c>
    </row>
    <row r="25" spans="3:11" ht="14.25">
      <c r="C25" s="41">
        <v>9</v>
      </c>
      <c r="D25" s="36">
        <f>_XLL.ДАТАМЕС($D$16,C25)</f>
        <v>42095</v>
      </c>
      <c r="E25" s="54">
        <f t="shared" si="0"/>
        <v>31</v>
      </c>
      <c r="F25" s="38">
        <f t="shared" si="3"/>
        <v>251501.59100532642</v>
      </c>
      <c r="G25" s="38">
        <f t="shared" si="5"/>
        <v>34736.40579893472</v>
      </c>
      <c r="H25" s="55">
        <f t="shared" si="1"/>
        <v>2776.85</v>
      </c>
      <c r="I25" s="38">
        <f t="shared" si="6"/>
        <v>37513.25579893472</v>
      </c>
      <c r="J25" s="39">
        <f t="shared" si="4"/>
        <v>4200</v>
      </c>
      <c r="K25" s="38">
        <f t="shared" si="2"/>
        <v>41713.25579893472</v>
      </c>
    </row>
    <row r="26" spans="3:11" ht="14.25">
      <c r="C26" s="41">
        <v>10</v>
      </c>
      <c r="D26" s="36">
        <f>_XLL.ДАТАМЕС($D$16,C26)</f>
        <v>42125</v>
      </c>
      <c r="E26" s="54">
        <f t="shared" si="0"/>
        <v>30</v>
      </c>
      <c r="F26" s="38">
        <f t="shared" si="3"/>
        <v>216765.1852063917</v>
      </c>
      <c r="G26" s="38">
        <f t="shared" si="5"/>
        <v>35197.135798934716</v>
      </c>
      <c r="H26" s="55">
        <f t="shared" si="1"/>
        <v>2316.12</v>
      </c>
      <c r="I26" s="38">
        <f t="shared" si="6"/>
        <v>37513.25579893472</v>
      </c>
      <c r="J26" s="39">
        <f t="shared" si="4"/>
        <v>4200</v>
      </c>
      <c r="K26" s="38">
        <f t="shared" si="2"/>
        <v>41713.25579893472</v>
      </c>
    </row>
    <row r="27" spans="3:11" ht="14.25">
      <c r="C27" s="41">
        <v>11</v>
      </c>
      <c r="D27" s="36">
        <f>_XLL.ДАТАМЕС($D$16,C27)</f>
        <v>42156</v>
      </c>
      <c r="E27" s="54">
        <f t="shared" si="0"/>
        <v>31</v>
      </c>
      <c r="F27" s="38">
        <f t="shared" si="3"/>
        <v>181568.049407457</v>
      </c>
      <c r="G27" s="38">
        <f t="shared" si="5"/>
        <v>35508.54579893472</v>
      </c>
      <c r="H27" s="55">
        <f t="shared" si="1"/>
        <v>2004.71</v>
      </c>
      <c r="I27" s="38">
        <f t="shared" si="6"/>
        <v>37513.25579893472</v>
      </c>
      <c r="J27" s="39">
        <f t="shared" si="4"/>
        <v>4200</v>
      </c>
      <c r="K27" s="38">
        <f t="shared" si="2"/>
        <v>41713.25579893472</v>
      </c>
    </row>
    <row r="28" spans="3:11" ht="14.25">
      <c r="C28" s="41">
        <v>12</v>
      </c>
      <c r="D28" s="36">
        <f>_XLL.ДАТАМЕС($D$16,C28)</f>
        <v>42186</v>
      </c>
      <c r="E28" s="54">
        <f t="shared" si="0"/>
        <v>30</v>
      </c>
      <c r="F28" s="38">
        <f t="shared" si="3"/>
        <v>146059.5036085223</v>
      </c>
      <c r="G28" s="38">
        <f t="shared" si="5"/>
        <v>35952.61579893472</v>
      </c>
      <c r="H28" s="55">
        <f t="shared" si="1"/>
        <v>1560.64</v>
      </c>
      <c r="I28" s="38">
        <f t="shared" si="6"/>
        <v>37513.25579893472</v>
      </c>
      <c r="J28" s="39">
        <f t="shared" si="4"/>
        <v>4200</v>
      </c>
      <c r="K28" s="38">
        <f t="shared" si="2"/>
        <v>41713.25579893472</v>
      </c>
    </row>
    <row r="29" spans="3:11" ht="14.25">
      <c r="C29" s="41">
        <v>13</v>
      </c>
      <c r="D29" s="36">
        <f>_XLL.ДАТАМЕС($D$16,C29)</f>
        <v>42217</v>
      </c>
      <c r="E29" s="54">
        <f t="shared" si="0"/>
        <v>31</v>
      </c>
      <c r="F29" s="38">
        <f t="shared" si="3"/>
        <v>110106.88780958758</v>
      </c>
      <c r="G29" s="38">
        <f t="shared" si="5"/>
        <v>36297.55579893472</v>
      </c>
      <c r="H29" s="55">
        <f t="shared" si="1"/>
        <v>1215.7</v>
      </c>
      <c r="I29" s="38">
        <f t="shared" si="6"/>
        <v>37513.25579893472</v>
      </c>
      <c r="J29" s="39">
        <f t="shared" si="4"/>
        <v>4200</v>
      </c>
      <c r="K29" s="38">
        <f t="shared" si="2"/>
        <v>41713.25579893472</v>
      </c>
    </row>
    <row r="30" spans="3:11" ht="14.25">
      <c r="C30" s="41">
        <v>14</v>
      </c>
      <c r="D30" s="36">
        <f>_XLL.ДАТАМЕС($D$16,C30)</f>
        <v>42248</v>
      </c>
      <c r="E30" s="54">
        <f t="shared" si="0"/>
        <v>31</v>
      </c>
      <c r="F30" s="38">
        <f t="shared" si="3"/>
        <v>73809.33201065287</v>
      </c>
      <c r="G30" s="38">
        <f t="shared" si="5"/>
        <v>36698.31579893472</v>
      </c>
      <c r="H30" s="55">
        <f t="shared" si="1"/>
        <v>814.94</v>
      </c>
      <c r="I30" s="38">
        <f t="shared" si="6"/>
        <v>37513.25579893472</v>
      </c>
      <c r="J30" s="39">
        <f t="shared" si="4"/>
        <v>4200</v>
      </c>
      <c r="K30" s="38">
        <f t="shared" si="2"/>
        <v>41713.25579893472</v>
      </c>
    </row>
    <row r="31" spans="3:11" ht="15" thickBot="1">
      <c r="C31" s="56">
        <v>15</v>
      </c>
      <c r="D31" s="57">
        <f>_XLL.ДАТАМЕС($D$16,C31)</f>
        <v>42278</v>
      </c>
      <c r="E31" s="58">
        <f t="shared" si="0"/>
        <v>30</v>
      </c>
      <c r="F31" s="59">
        <f t="shared" si="3"/>
        <v>37111.01621171815</v>
      </c>
      <c r="G31" s="60">
        <f>F31</f>
        <v>37111.01621171815</v>
      </c>
      <c r="H31" s="61">
        <f t="shared" si="1"/>
        <v>396.53</v>
      </c>
      <c r="I31" s="59">
        <f>G31+H31</f>
        <v>37507.54621171815</v>
      </c>
      <c r="J31" s="62">
        <f t="shared" si="4"/>
        <v>4200</v>
      </c>
      <c r="K31" s="59">
        <f t="shared" si="2"/>
        <v>41707.54621171815</v>
      </c>
    </row>
    <row r="32" spans="3:11" ht="15" thickTop="1">
      <c r="C32" s="34" t="s">
        <v>11</v>
      </c>
      <c r="D32" s="63"/>
      <c r="E32" s="55">
        <f>SUM(E17:E31)</f>
        <v>457</v>
      </c>
      <c r="G32" s="38">
        <f>SUM(G16:G31)</f>
        <v>420000</v>
      </c>
      <c r="H32" s="38">
        <f>SUM(H16:H31)</f>
        <v>43915.549999999996</v>
      </c>
      <c r="I32" s="38">
        <f>SUM(I16:I31)</f>
        <v>43915.55000000013</v>
      </c>
      <c r="J32" s="38">
        <f>SUM(J16:J31)</f>
        <v>75600</v>
      </c>
      <c r="K32" s="38">
        <f>SUM(K16:K31)</f>
        <v>119515.5500000001</v>
      </c>
    </row>
    <row r="33" ht="14.25">
      <c r="K33" s="3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L30"/>
  <sheetViews>
    <sheetView zoomScalePageLayoutView="0" workbookViewId="0" topLeftCell="C12">
      <selection activeCell="L17" sqref="L17:L28"/>
    </sheetView>
  </sheetViews>
  <sheetFormatPr defaultColWidth="9.140625" defaultRowHeight="15"/>
  <cols>
    <col min="3" max="3" width="10.140625" style="0" bestFit="1" customWidth="1"/>
    <col min="4" max="4" width="15.8515625" style="0" customWidth="1"/>
    <col min="5" max="5" width="11.140625" style="0" bestFit="1" customWidth="1"/>
    <col min="6" max="6" width="15.8515625" style="0" customWidth="1"/>
    <col min="7" max="7" width="12.421875" style="0" customWidth="1"/>
    <col min="8" max="8" width="13.140625" style="0" customWidth="1"/>
    <col min="9" max="10" width="14.00390625" style="0" customWidth="1"/>
    <col min="11" max="11" width="13.28125" style="0" customWidth="1"/>
    <col min="12" max="12" width="11.57421875" style="0" bestFit="1" customWidth="1"/>
  </cols>
  <sheetData>
    <row r="2" spans="3:11" ht="14.25">
      <c r="C2" s="10" t="s">
        <v>17</v>
      </c>
      <c r="D2" s="10"/>
      <c r="E2" s="10"/>
      <c r="F2" s="10"/>
      <c r="H2" s="10" t="s">
        <v>0</v>
      </c>
      <c r="I2" s="10"/>
      <c r="J2" s="10"/>
      <c r="K2" s="10"/>
    </row>
    <row r="3" spans="3:12" ht="14.25">
      <c r="C3" t="s">
        <v>18</v>
      </c>
      <c r="F3" s="1">
        <v>41830</v>
      </c>
      <c r="J3" s="9" t="s">
        <v>1</v>
      </c>
      <c r="K3" s="4">
        <f>-PMT(F7/12,F6,F4)</f>
        <v>11001.599148747568</v>
      </c>
      <c r="L3" s="4"/>
    </row>
    <row r="4" spans="3:11" ht="14.25">
      <c r="C4" t="s">
        <v>19</v>
      </c>
      <c r="F4" s="7">
        <v>120000</v>
      </c>
      <c r="J4" s="9" t="s">
        <v>15</v>
      </c>
      <c r="K4" s="8">
        <f>_XLL.ЧИСТВНДОХ(K16:K28,D16:D28)</f>
        <v>0.38955262303352356</v>
      </c>
    </row>
    <row r="5" spans="6:12" ht="14.25">
      <c r="F5" s="7"/>
      <c r="J5" s="9" t="s">
        <v>29</v>
      </c>
      <c r="K5" s="66">
        <v>0.3895526212190569</v>
      </c>
      <c r="L5" s="3"/>
    </row>
    <row r="6" spans="3:11" ht="14.25">
      <c r="C6" t="s">
        <v>21</v>
      </c>
      <c r="F6">
        <v>12</v>
      </c>
      <c r="J6" s="9" t="s">
        <v>16</v>
      </c>
      <c r="K6" s="3">
        <f>RATE(F6,-(K29+F4)/F6,F4)*12</f>
        <v>0.3349652333895586</v>
      </c>
    </row>
    <row r="7" spans="3:11" ht="14.25">
      <c r="C7" t="s">
        <v>20</v>
      </c>
      <c r="F7" s="2">
        <v>0.18</v>
      </c>
      <c r="J7" s="9" t="s">
        <v>13</v>
      </c>
      <c r="K7" s="4">
        <f>K29</f>
        <v>22869.690000000028</v>
      </c>
    </row>
    <row r="8" spans="3:11" ht="14.25">
      <c r="C8" t="s">
        <v>22</v>
      </c>
      <c r="F8" s="7">
        <f>0.75%*F4</f>
        <v>900</v>
      </c>
      <c r="J8" s="9" t="s">
        <v>14</v>
      </c>
      <c r="K8" s="8">
        <f>K7/F4</f>
        <v>0.19058075000000024</v>
      </c>
    </row>
    <row r="9" spans="6:11" ht="14.25">
      <c r="F9" s="7"/>
      <c r="J9" s="9"/>
      <c r="K9" s="23"/>
    </row>
    <row r="10" ht="14.25">
      <c r="C10" s="3"/>
    </row>
    <row r="11" spans="3:11" ht="14.25">
      <c r="C11" t="s">
        <v>23</v>
      </c>
      <c r="K11" s="7">
        <f>F4</f>
        <v>120000</v>
      </c>
    </row>
    <row r="12" ht="14.25">
      <c r="C12" s="3"/>
    </row>
    <row r="13" ht="14.25">
      <c r="C13" s="3"/>
    </row>
    <row r="14" spans="3:11" ht="15">
      <c r="C14" s="20"/>
      <c r="D14" s="10"/>
      <c r="E14" s="10"/>
      <c r="F14" s="21" t="s">
        <v>12</v>
      </c>
      <c r="G14" s="10"/>
      <c r="H14" s="10"/>
      <c r="I14" s="10"/>
      <c r="J14" s="10"/>
      <c r="K14" s="10"/>
    </row>
    <row r="15" spans="3:12" ht="57.75" thickBot="1">
      <c r="C15" s="15" t="s">
        <v>10</v>
      </c>
      <c r="D15" s="15" t="s">
        <v>2</v>
      </c>
      <c r="E15" s="15" t="s">
        <v>3</v>
      </c>
      <c r="F15" s="15" t="s">
        <v>4</v>
      </c>
      <c r="G15" s="15" t="s">
        <v>5</v>
      </c>
      <c r="H15" s="15" t="s">
        <v>6</v>
      </c>
      <c r="I15" s="15" t="s">
        <v>7</v>
      </c>
      <c r="J15" s="15" t="s">
        <v>8</v>
      </c>
      <c r="K15" s="15" t="s">
        <v>9</v>
      </c>
      <c r="L15" s="65" t="s">
        <v>30</v>
      </c>
    </row>
    <row r="16" spans="3:12" ht="14.25">
      <c r="C16" s="18"/>
      <c r="D16" s="1">
        <f>F3</f>
        <v>41830</v>
      </c>
      <c r="E16" s="1"/>
      <c r="F16" s="4">
        <f>F4</f>
        <v>120000</v>
      </c>
      <c r="I16" s="4">
        <f>-F16</f>
        <v>-120000</v>
      </c>
      <c r="K16" s="4">
        <f>I16</f>
        <v>-120000</v>
      </c>
      <c r="L16">
        <v>-120000</v>
      </c>
    </row>
    <row r="17" spans="3:12" ht="14.25">
      <c r="C17" s="18">
        <v>1</v>
      </c>
      <c r="D17" s="1">
        <f>_XLL.ДАТАМЕС($D$16,C17)</f>
        <v>41861</v>
      </c>
      <c r="E17" s="16">
        <f>D17-D16</f>
        <v>31</v>
      </c>
      <c r="F17" s="4">
        <f>F16</f>
        <v>120000</v>
      </c>
      <c r="G17" s="4">
        <f>I17-H17</f>
        <v>9167.08</v>
      </c>
      <c r="H17" s="6">
        <f>ROUND(F17*($F$7/365*E17),2)</f>
        <v>1834.52</v>
      </c>
      <c r="I17" s="4">
        <f>ROUND(K3,2)</f>
        <v>11001.6</v>
      </c>
      <c r="J17" s="7">
        <f>F8</f>
        <v>900</v>
      </c>
      <c r="K17" s="4">
        <f>J17+I17</f>
        <v>11901.6</v>
      </c>
      <c r="L17" s="64">
        <f>K17/((1+$K$5)^((D17-$D$16)/365))</f>
        <v>11573.661098608462</v>
      </c>
    </row>
    <row r="18" spans="3:12" ht="14.25">
      <c r="C18" s="18">
        <v>2</v>
      </c>
      <c r="D18" s="1">
        <f>_XLL.ДАТАМЕС($D$16,C18)</f>
        <v>41892</v>
      </c>
      <c r="E18" s="16">
        <f aca="true" t="shared" si="0" ref="E18:E27">D18-D17</f>
        <v>31</v>
      </c>
      <c r="F18" s="4">
        <f>F17-G17</f>
        <v>110832.92</v>
      </c>
      <c r="G18" s="4">
        <f aca="true" t="shared" si="1" ref="G18:G27">I18-H18</f>
        <v>9307.220000000001</v>
      </c>
      <c r="H18" s="6">
        <f aca="true" t="shared" si="2" ref="H18:H28">ROUND(F18*($F$7/365*E18),2)</f>
        <v>1694.38</v>
      </c>
      <c r="I18" s="4">
        <f aca="true" t="shared" si="3" ref="I18:J27">I17</f>
        <v>11001.6</v>
      </c>
      <c r="J18" s="7">
        <f>J17</f>
        <v>900</v>
      </c>
      <c r="K18" s="4">
        <f aca="true" t="shared" si="4" ref="K18:K28">J18+I18</f>
        <v>11901.6</v>
      </c>
      <c r="L18" s="64">
        <f aca="true" t="shared" si="5" ref="L18:L28">K18/((1+$K$5)^((D18-$D$16)/365))</f>
        <v>11254.758286738155</v>
      </c>
    </row>
    <row r="19" spans="3:12" ht="14.25">
      <c r="C19" s="18">
        <v>3</v>
      </c>
      <c r="D19" s="1">
        <f>_XLL.ДАТАМЕС($D$16,C19)</f>
        <v>41922</v>
      </c>
      <c r="E19" s="16">
        <f t="shared" si="0"/>
        <v>30</v>
      </c>
      <c r="F19" s="4">
        <f aca="true" t="shared" si="6" ref="F19:F27">F18-G18</f>
        <v>101525.7</v>
      </c>
      <c r="G19" s="4">
        <f t="shared" si="1"/>
        <v>9499.58</v>
      </c>
      <c r="H19" s="6">
        <f t="shared" si="2"/>
        <v>1502.02</v>
      </c>
      <c r="I19" s="4">
        <f t="shared" si="3"/>
        <v>11001.6</v>
      </c>
      <c r="J19" s="7">
        <f t="shared" si="3"/>
        <v>900</v>
      </c>
      <c r="K19" s="4">
        <f t="shared" si="4"/>
        <v>11901.6</v>
      </c>
      <c r="L19" s="64">
        <f t="shared" si="5"/>
        <v>10954.51165568038</v>
      </c>
    </row>
    <row r="20" spans="3:12" ht="14.25">
      <c r="C20" s="18">
        <v>4</v>
      </c>
      <c r="D20" s="1">
        <f>_XLL.ДАТАМЕС($D$16,C20)</f>
        <v>41953</v>
      </c>
      <c r="E20" s="16">
        <f t="shared" si="0"/>
        <v>31</v>
      </c>
      <c r="F20" s="4">
        <f t="shared" si="6"/>
        <v>92026.12</v>
      </c>
      <c r="G20" s="4">
        <f t="shared" si="1"/>
        <v>9594.73</v>
      </c>
      <c r="H20" s="6">
        <f t="shared" si="2"/>
        <v>1406.87</v>
      </c>
      <c r="I20" s="4">
        <f t="shared" si="3"/>
        <v>11001.6</v>
      </c>
      <c r="J20" s="7">
        <f t="shared" si="3"/>
        <v>900</v>
      </c>
      <c r="K20" s="4">
        <f t="shared" si="4"/>
        <v>11901.6</v>
      </c>
      <c r="L20" s="64">
        <f t="shared" si="5"/>
        <v>10652.669002789624</v>
      </c>
    </row>
    <row r="21" spans="3:12" ht="14.25">
      <c r="C21" s="18">
        <v>5</v>
      </c>
      <c r="D21" s="1">
        <f>_XLL.ДАТАМЕС($D$16,C21)</f>
        <v>41983</v>
      </c>
      <c r="E21" s="16">
        <f t="shared" si="0"/>
        <v>30</v>
      </c>
      <c r="F21" s="4">
        <f t="shared" si="6"/>
        <v>82431.39</v>
      </c>
      <c r="G21" s="4">
        <f t="shared" si="1"/>
        <v>9782.07</v>
      </c>
      <c r="H21" s="6">
        <f t="shared" si="2"/>
        <v>1219.53</v>
      </c>
      <c r="I21" s="4">
        <f t="shared" si="3"/>
        <v>11001.6</v>
      </c>
      <c r="J21" s="7">
        <f t="shared" si="3"/>
        <v>900</v>
      </c>
      <c r="K21" s="4">
        <f t="shared" si="4"/>
        <v>11901.6</v>
      </c>
      <c r="L21" s="64">
        <f t="shared" si="5"/>
        <v>10368.484491814386</v>
      </c>
    </row>
    <row r="22" spans="3:12" ht="14.25">
      <c r="C22" s="18">
        <v>6</v>
      </c>
      <c r="D22" s="1">
        <f>_XLL.ДАТАМЕС($D$16,C22)</f>
        <v>42014</v>
      </c>
      <c r="E22" s="16">
        <f t="shared" si="0"/>
        <v>31</v>
      </c>
      <c r="F22" s="4">
        <f t="shared" si="6"/>
        <v>72649.32</v>
      </c>
      <c r="G22" s="4">
        <f t="shared" si="1"/>
        <v>9890.960000000001</v>
      </c>
      <c r="H22" s="6">
        <f t="shared" si="2"/>
        <v>1110.64</v>
      </c>
      <c r="I22" s="4">
        <f t="shared" si="3"/>
        <v>11001.6</v>
      </c>
      <c r="J22" s="7">
        <f t="shared" si="3"/>
        <v>900</v>
      </c>
      <c r="K22" s="4">
        <f t="shared" si="4"/>
        <v>11901.6</v>
      </c>
      <c r="L22" s="64">
        <f t="shared" si="5"/>
        <v>10082.789340461559</v>
      </c>
    </row>
    <row r="23" spans="3:12" ht="14.25">
      <c r="C23" s="18">
        <v>7</v>
      </c>
      <c r="D23" s="1">
        <f>_XLL.ДАТАМЕС($D$16,C23)</f>
        <v>42045</v>
      </c>
      <c r="E23" s="16">
        <f t="shared" si="0"/>
        <v>31</v>
      </c>
      <c r="F23" s="4">
        <f t="shared" si="6"/>
        <v>62758.36000000001</v>
      </c>
      <c r="G23" s="4">
        <f t="shared" si="1"/>
        <v>10042.17</v>
      </c>
      <c r="H23" s="6">
        <f t="shared" si="2"/>
        <v>959.43</v>
      </c>
      <c r="I23" s="4">
        <f t="shared" si="3"/>
        <v>11001.6</v>
      </c>
      <c r="J23" s="7">
        <f t="shared" si="3"/>
        <v>900</v>
      </c>
      <c r="K23" s="4">
        <f t="shared" si="4"/>
        <v>11901.6</v>
      </c>
      <c r="L23" s="64">
        <f t="shared" si="5"/>
        <v>9804.966286479466</v>
      </c>
    </row>
    <row r="24" spans="3:12" ht="14.25">
      <c r="C24" s="18">
        <v>8</v>
      </c>
      <c r="D24" s="1">
        <f>_XLL.ДАТАМЕС($D$16,C24)</f>
        <v>42073</v>
      </c>
      <c r="E24" s="16">
        <f t="shared" si="0"/>
        <v>28</v>
      </c>
      <c r="F24" s="4">
        <f t="shared" si="6"/>
        <v>52716.19000000001</v>
      </c>
      <c r="G24" s="4">
        <f t="shared" si="1"/>
        <v>10273.68</v>
      </c>
      <c r="H24" s="6">
        <f t="shared" si="2"/>
        <v>727.92</v>
      </c>
      <c r="I24" s="4">
        <f t="shared" si="3"/>
        <v>11001.6</v>
      </c>
      <c r="J24" s="7">
        <f t="shared" si="3"/>
        <v>900</v>
      </c>
      <c r="K24" s="4">
        <f t="shared" si="4"/>
        <v>11901.6</v>
      </c>
      <c r="L24" s="64">
        <f t="shared" si="5"/>
        <v>9560.61502511951</v>
      </c>
    </row>
    <row r="25" spans="3:12" ht="14.25">
      <c r="C25" s="18">
        <v>9</v>
      </c>
      <c r="D25" s="1">
        <f>_XLL.ДАТАМЕС($D$16,C25)</f>
        <v>42104</v>
      </c>
      <c r="E25" s="16">
        <f t="shared" si="0"/>
        <v>31</v>
      </c>
      <c r="F25" s="4">
        <f t="shared" si="6"/>
        <v>42442.51000000001</v>
      </c>
      <c r="G25" s="4">
        <f t="shared" si="1"/>
        <v>10352.75</v>
      </c>
      <c r="H25" s="6">
        <f t="shared" si="2"/>
        <v>648.85</v>
      </c>
      <c r="I25" s="4">
        <f t="shared" si="3"/>
        <v>11001.6</v>
      </c>
      <c r="J25" s="7">
        <f t="shared" si="3"/>
        <v>900</v>
      </c>
      <c r="K25" s="4">
        <f t="shared" si="4"/>
        <v>11901.6</v>
      </c>
      <c r="L25" s="64">
        <f t="shared" si="5"/>
        <v>9297.180059403545</v>
      </c>
    </row>
    <row r="26" spans="3:12" ht="14.25">
      <c r="C26" s="18">
        <v>10</v>
      </c>
      <c r="D26" s="1">
        <f>_XLL.ДАТАМЕС($D$16,C26)</f>
        <v>42134</v>
      </c>
      <c r="E26" s="16">
        <f t="shared" si="0"/>
        <v>30</v>
      </c>
      <c r="F26" s="4">
        <f t="shared" si="6"/>
        <v>32089.76000000001</v>
      </c>
      <c r="G26" s="4">
        <f t="shared" si="1"/>
        <v>10526.85</v>
      </c>
      <c r="H26" s="6">
        <f t="shared" si="2"/>
        <v>474.75</v>
      </c>
      <c r="I26" s="4">
        <f t="shared" si="3"/>
        <v>11001.6</v>
      </c>
      <c r="J26" s="7">
        <f t="shared" si="3"/>
        <v>900</v>
      </c>
      <c r="K26" s="4">
        <f t="shared" si="4"/>
        <v>11901.6</v>
      </c>
      <c r="L26" s="64">
        <f t="shared" si="5"/>
        <v>9049.156341785132</v>
      </c>
    </row>
    <row r="27" spans="3:12" ht="14.25">
      <c r="C27" s="18">
        <v>11</v>
      </c>
      <c r="D27" s="1">
        <f>_XLL.ДАТАМЕС($D$16,C27)</f>
        <v>42165</v>
      </c>
      <c r="E27" s="16">
        <f t="shared" si="0"/>
        <v>31</v>
      </c>
      <c r="F27" s="4">
        <f t="shared" si="6"/>
        <v>21562.91000000001</v>
      </c>
      <c r="G27" s="4">
        <f t="shared" si="1"/>
        <v>10671.95</v>
      </c>
      <c r="H27" s="6">
        <f t="shared" si="2"/>
        <v>329.65</v>
      </c>
      <c r="I27" s="4">
        <f t="shared" si="3"/>
        <v>11001.6</v>
      </c>
      <c r="J27" s="7">
        <f t="shared" si="3"/>
        <v>900</v>
      </c>
      <c r="K27" s="4">
        <f t="shared" si="4"/>
        <v>11901.6</v>
      </c>
      <c r="L27" s="64">
        <f t="shared" si="5"/>
        <v>8799.814203816684</v>
      </c>
    </row>
    <row r="28" spans="3:12" ht="15" thickBot="1">
      <c r="C28" s="19">
        <v>12</v>
      </c>
      <c r="D28" s="11">
        <f>_XLL.ДАТАМЕС($D$16,C28)</f>
        <v>42195</v>
      </c>
      <c r="E28" s="17">
        <f>D28-D27</f>
        <v>30</v>
      </c>
      <c r="F28" s="12">
        <f>F27-G27</f>
        <v>10890.96000000001</v>
      </c>
      <c r="G28" s="12">
        <f>F28</f>
        <v>10890.96000000001</v>
      </c>
      <c r="H28" s="13">
        <f t="shared" si="2"/>
        <v>161.13</v>
      </c>
      <c r="I28" s="22">
        <f>G28+H28</f>
        <v>11052.09000000001</v>
      </c>
      <c r="J28" s="14">
        <f>J27</f>
        <v>900</v>
      </c>
      <c r="K28" s="12">
        <f t="shared" si="4"/>
        <v>11952.09000000001</v>
      </c>
      <c r="L28" s="64">
        <f t="shared" si="5"/>
        <v>8601.394303091896</v>
      </c>
    </row>
    <row r="29" spans="3:12" ht="15" thickTop="1">
      <c r="C29" t="s">
        <v>11</v>
      </c>
      <c r="D29" s="5">
        <f>D28-D16</f>
        <v>365</v>
      </c>
      <c r="E29" s="6">
        <f>SUM(E17:E28)</f>
        <v>365</v>
      </c>
      <c r="G29" s="4">
        <f>SUM(G17:G28)</f>
        <v>120000</v>
      </c>
      <c r="H29" s="6">
        <f>SUM(H17:H28)</f>
        <v>12069.689999999999</v>
      </c>
      <c r="I29" s="4">
        <f>SUM(I16:I28)</f>
        <v>12069.690000000026</v>
      </c>
      <c r="J29" s="7">
        <f>SUM(J17:J28)</f>
        <v>10800</v>
      </c>
      <c r="K29" s="4">
        <f>SUM(K16:K28)</f>
        <v>22869.690000000028</v>
      </c>
      <c r="L29" s="4">
        <f>SUM(L16:L28)</f>
        <v>9.578880781191401E-05</v>
      </c>
    </row>
    <row r="30" ht="14.25">
      <c r="E30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L29"/>
  <sheetViews>
    <sheetView zoomScale="115" zoomScaleNormal="115" workbookViewId="0" topLeftCell="D4">
      <selection activeCell="K5" sqref="K5"/>
    </sheetView>
  </sheetViews>
  <sheetFormatPr defaultColWidth="9.140625" defaultRowHeight="15"/>
  <cols>
    <col min="3" max="3" width="10.140625" style="0" bestFit="1" customWidth="1"/>
    <col min="4" max="4" width="15.8515625" style="0" customWidth="1"/>
    <col min="5" max="5" width="11.140625" style="0" bestFit="1" customWidth="1"/>
    <col min="6" max="6" width="15.8515625" style="0" customWidth="1"/>
    <col min="7" max="7" width="12.421875" style="0" customWidth="1"/>
    <col min="8" max="8" width="13.140625" style="0" customWidth="1"/>
    <col min="9" max="10" width="14.00390625" style="0" customWidth="1"/>
    <col min="11" max="11" width="13.28125" style="0" customWidth="1"/>
    <col min="12" max="12" width="11.00390625" style="0" bestFit="1" customWidth="1"/>
  </cols>
  <sheetData>
    <row r="2" spans="3:11" ht="14.25">
      <c r="C2" s="10" t="s">
        <v>17</v>
      </c>
      <c r="D2" s="10"/>
      <c r="E2" s="10"/>
      <c r="F2" s="10"/>
      <c r="H2" s="10" t="s">
        <v>0</v>
      </c>
      <c r="I2" s="10"/>
      <c r="J2" s="10"/>
      <c r="K2" s="10"/>
    </row>
    <row r="3" spans="3:12" ht="14.25">
      <c r="C3" t="s">
        <v>18</v>
      </c>
      <c r="F3" s="1">
        <v>41830</v>
      </c>
      <c r="J3" s="9"/>
      <c r="K3" s="4"/>
      <c r="L3" s="4"/>
    </row>
    <row r="4" spans="3:11" ht="14.25">
      <c r="C4" t="s">
        <v>19</v>
      </c>
      <c r="F4" s="24">
        <v>120000</v>
      </c>
      <c r="J4" s="9" t="s">
        <v>15</v>
      </c>
      <c r="K4" s="25">
        <f>_XLL.ЧИСТВНДОХ(K15:K27,D15:D27)</f>
        <v>0.3948675453662873</v>
      </c>
    </row>
    <row r="5" spans="3:11" ht="14.25">
      <c r="C5" t="s">
        <v>21</v>
      </c>
      <c r="F5">
        <v>12</v>
      </c>
      <c r="J5" s="9" t="s">
        <v>16</v>
      </c>
      <c r="K5" s="3">
        <f>RATE(F5,-(K28+F4)/F5,F4)*12</f>
        <v>0.33037782442513797</v>
      </c>
    </row>
    <row r="6" spans="3:11" ht="14.25">
      <c r="C6" t="s">
        <v>20</v>
      </c>
      <c r="F6" s="2">
        <v>0.18</v>
      </c>
      <c r="J6" s="9" t="s">
        <v>13</v>
      </c>
      <c r="K6" s="4">
        <f>K28</f>
        <v>22541.92</v>
      </c>
    </row>
    <row r="7" spans="3:11" ht="14.25">
      <c r="C7" t="s">
        <v>22</v>
      </c>
      <c r="F7" s="24">
        <f>0.75%*F4</f>
        <v>900</v>
      </c>
      <c r="J7" s="9" t="s">
        <v>14</v>
      </c>
      <c r="K7" s="25">
        <f>K6/F4</f>
        <v>0.1878493333333333</v>
      </c>
    </row>
    <row r="8" spans="6:11" ht="14.25">
      <c r="F8" s="24"/>
      <c r="J8" s="9"/>
      <c r="K8" s="26"/>
    </row>
    <row r="9" ht="14.25">
      <c r="C9" s="3"/>
    </row>
    <row r="10" spans="3:11" ht="14.25">
      <c r="C10" t="s">
        <v>23</v>
      </c>
      <c r="K10" s="24">
        <f>F4</f>
        <v>120000</v>
      </c>
    </row>
    <row r="11" ht="14.25">
      <c r="C11" s="3"/>
    </row>
    <row r="12" ht="14.25">
      <c r="C12" s="3"/>
    </row>
    <row r="13" spans="3:11" ht="15">
      <c r="C13" s="20"/>
      <c r="D13" s="10"/>
      <c r="E13" s="10"/>
      <c r="F13" s="21" t="s">
        <v>12</v>
      </c>
      <c r="G13" s="10"/>
      <c r="H13" s="10"/>
      <c r="I13" s="10"/>
      <c r="J13" s="10"/>
      <c r="K13" s="10"/>
    </row>
    <row r="14" spans="3:11" ht="57.75" thickBot="1">
      <c r="C14" s="15" t="s">
        <v>10</v>
      </c>
      <c r="D14" s="15" t="s">
        <v>2</v>
      </c>
      <c r="E14" s="15" t="s">
        <v>3</v>
      </c>
      <c r="F14" s="15" t="s">
        <v>4</v>
      </c>
      <c r="G14" s="15" t="s">
        <v>5</v>
      </c>
      <c r="H14" s="15" t="s">
        <v>6</v>
      </c>
      <c r="I14" s="15" t="s">
        <v>7</v>
      </c>
      <c r="J14" s="15" t="s">
        <v>8</v>
      </c>
      <c r="K14" s="15" t="s">
        <v>9</v>
      </c>
    </row>
    <row r="15" spans="3:11" ht="14.25">
      <c r="C15" s="18"/>
      <c r="D15" s="1">
        <f>F3</f>
        <v>41830</v>
      </c>
      <c r="E15" s="1"/>
      <c r="F15" s="4">
        <f>F4</f>
        <v>120000</v>
      </c>
      <c r="I15" s="4">
        <f>-F15</f>
        <v>-120000</v>
      </c>
      <c r="K15" s="4">
        <f>I15</f>
        <v>-120000</v>
      </c>
    </row>
    <row r="16" spans="3:11" ht="14.25">
      <c r="C16" s="18">
        <v>1</v>
      </c>
      <c r="D16" s="1">
        <f>_XLL.ДАТАМЕС($D$15,C16)</f>
        <v>41861</v>
      </c>
      <c r="E16" s="27">
        <f aca="true" t="shared" si="0" ref="E16:E27">D16-D15</f>
        <v>31</v>
      </c>
      <c r="F16" s="4">
        <f>F15</f>
        <v>120000</v>
      </c>
      <c r="G16" s="4">
        <f>$F$15/12</f>
        <v>10000</v>
      </c>
      <c r="H16" s="6">
        <f>ROUND(F16*($F$6/365*E16),2)</f>
        <v>1834.52</v>
      </c>
      <c r="I16" s="4">
        <f>G16+H16</f>
        <v>11834.52</v>
      </c>
      <c r="J16" s="24">
        <f>F7</f>
        <v>900</v>
      </c>
      <c r="K16" s="4">
        <f aca="true" t="shared" si="1" ref="K16:K27">J16+I16</f>
        <v>12734.52</v>
      </c>
    </row>
    <row r="17" spans="3:11" ht="14.25">
      <c r="C17" s="18">
        <v>2</v>
      </c>
      <c r="D17" s="1">
        <f>_XLL.ДАТАМЕС($D$15,C17)</f>
        <v>41892</v>
      </c>
      <c r="E17" s="27">
        <f t="shared" si="0"/>
        <v>31</v>
      </c>
      <c r="F17" s="4">
        <f aca="true" t="shared" si="2" ref="F17:F27">F16-G16</f>
        <v>110000</v>
      </c>
      <c r="G17" s="4">
        <f aca="true" t="shared" si="3" ref="G17:G27">$F$15/12</f>
        <v>10000</v>
      </c>
      <c r="H17" s="6">
        <f aca="true" t="shared" si="4" ref="H17:H27">ROUND(F17*($F$6/365*E17),2)</f>
        <v>1681.64</v>
      </c>
      <c r="I17" s="4">
        <f aca="true" t="shared" si="5" ref="I17:I27">G17+H17</f>
        <v>11681.64</v>
      </c>
      <c r="J17" s="24">
        <f aca="true" t="shared" si="6" ref="J17:J26">J16</f>
        <v>900</v>
      </c>
      <c r="K17" s="4">
        <f t="shared" si="1"/>
        <v>12581.64</v>
      </c>
    </row>
    <row r="18" spans="3:11" ht="14.25">
      <c r="C18" s="18">
        <v>3</v>
      </c>
      <c r="D18" s="1">
        <f>_XLL.ДАТАМЕС($D$15,C18)</f>
        <v>41922</v>
      </c>
      <c r="E18" s="27">
        <f t="shared" si="0"/>
        <v>30</v>
      </c>
      <c r="F18" s="4">
        <f t="shared" si="2"/>
        <v>100000</v>
      </c>
      <c r="G18" s="4">
        <f t="shared" si="3"/>
        <v>10000</v>
      </c>
      <c r="H18" s="6">
        <f t="shared" si="4"/>
        <v>1479.45</v>
      </c>
      <c r="I18" s="4">
        <f t="shared" si="5"/>
        <v>11479.45</v>
      </c>
      <c r="J18" s="24">
        <f t="shared" si="6"/>
        <v>900</v>
      </c>
      <c r="K18" s="4">
        <f t="shared" si="1"/>
        <v>12379.45</v>
      </c>
    </row>
    <row r="19" spans="3:11" ht="14.25">
      <c r="C19" s="18">
        <v>4</v>
      </c>
      <c r="D19" s="1">
        <f>_XLL.ДАТАМЕС($D$15,C19)</f>
        <v>41953</v>
      </c>
      <c r="E19" s="27">
        <f t="shared" si="0"/>
        <v>31</v>
      </c>
      <c r="F19" s="4">
        <f t="shared" si="2"/>
        <v>90000</v>
      </c>
      <c r="G19" s="4">
        <f t="shared" si="3"/>
        <v>10000</v>
      </c>
      <c r="H19" s="6">
        <f t="shared" si="4"/>
        <v>1375.89</v>
      </c>
      <c r="I19" s="4">
        <f t="shared" si="5"/>
        <v>11375.89</v>
      </c>
      <c r="J19" s="24">
        <f t="shared" si="6"/>
        <v>900</v>
      </c>
      <c r="K19" s="4">
        <f t="shared" si="1"/>
        <v>12275.89</v>
      </c>
    </row>
    <row r="20" spans="3:11" ht="14.25">
      <c r="C20" s="18">
        <v>5</v>
      </c>
      <c r="D20" s="1">
        <f>_XLL.ДАТАМЕС($D$15,C20)</f>
        <v>41983</v>
      </c>
      <c r="E20" s="27">
        <f t="shared" si="0"/>
        <v>30</v>
      </c>
      <c r="F20" s="4">
        <f t="shared" si="2"/>
        <v>80000</v>
      </c>
      <c r="G20" s="4">
        <f t="shared" si="3"/>
        <v>10000</v>
      </c>
      <c r="H20" s="6">
        <f t="shared" si="4"/>
        <v>1183.56</v>
      </c>
      <c r="I20" s="4">
        <f t="shared" si="5"/>
        <v>11183.56</v>
      </c>
      <c r="J20" s="24">
        <f t="shared" si="6"/>
        <v>900</v>
      </c>
      <c r="K20" s="4">
        <f t="shared" si="1"/>
        <v>12083.56</v>
      </c>
    </row>
    <row r="21" spans="3:11" ht="14.25">
      <c r="C21" s="18">
        <v>6</v>
      </c>
      <c r="D21" s="1">
        <f>_XLL.ДАТАМЕС($D$15,C21)</f>
        <v>42014</v>
      </c>
      <c r="E21" s="27">
        <f t="shared" si="0"/>
        <v>31</v>
      </c>
      <c r="F21" s="4">
        <f t="shared" si="2"/>
        <v>70000</v>
      </c>
      <c r="G21" s="4">
        <f t="shared" si="3"/>
        <v>10000</v>
      </c>
      <c r="H21" s="6">
        <f t="shared" si="4"/>
        <v>1070.14</v>
      </c>
      <c r="I21" s="4">
        <f t="shared" si="5"/>
        <v>11070.14</v>
      </c>
      <c r="J21" s="24">
        <f t="shared" si="6"/>
        <v>900</v>
      </c>
      <c r="K21" s="4">
        <f t="shared" si="1"/>
        <v>11970.14</v>
      </c>
    </row>
    <row r="22" spans="3:11" ht="14.25">
      <c r="C22" s="18">
        <v>7</v>
      </c>
      <c r="D22" s="1">
        <f>_XLL.ДАТАМЕС($D$15,C22)</f>
        <v>42045</v>
      </c>
      <c r="E22" s="27">
        <f t="shared" si="0"/>
        <v>31</v>
      </c>
      <c r="F22" s="4">
        <f t="shared" si="2"/>
        <v>60000</v>
      </c>
      <c r="G22" s="4">
        <f t="shared" si="3"/>
        <v>10000</v>
      </c>
      <c r="H22" s="6">
        <f t="shared" si="4"/>
        <v>917.26</v>
      </c>
      <c r="I22" s="4">
        <f t="shared" si="5"/>
        <v>10917.26</v>
      </c>
      <c r="J22" s="24">
        <f t="shared" si="6"/>
        <v>900</v>
      </c>
      <c r="K22" s="4">
        <f t="shared" si="1"/>
        <v>11817.26</v>
      </c>
    </row>
    <row r="23" spans="3:11" ht="14.25">
      <c r="C23" s="18">
        <v>8</v>
      </c>
      <c r="D23" s="1">
        <f>_XLL.ДАТАМЕС($D$15,C23)</f>
        <v>42073</v>
      </c>
      <c r="E23" s="27">
        <f t="shared" si="0"/>
        <v>28</v>
      </c>
      <c r="F23" s="4">
        <f t="shared" si="2"/>
        <v>50000</v>
      </c>
      <c r="G23" s="4">
        <f t="shared" si="3"/>
        <v>10000</v>
      </c>
      <c r="H23" s="6">
        <f t="shared" si="4"/>
        <v>690.41</v>
      </c>
      <c r="I23" s="4">
        <f t="shared" si="5"/>
        <v>10690.41</v>
      </c>
      <c r="J23" s="24">
        <f t="shared" si="6"/>
        <v>900</v>
      </c>
      <c r="K23" s="4">
        <f t="shared" si="1"/>
        <v>11590.41</v>
      </c>
    </row>
    <row r="24" spans="3:11" ht="14.25">
      <c r="C24" s="18">
        <v>9</v>
      </c>
      <c r="D24" s="1">
        <f>_XLL.ДАТАМЕС($D$15,C24)</f>
        <v>42104</v>
      </c>
      <c r="E24" s="27">
        <f t="shared" si="0"/>
        <v>31</v>
      </c>
      <c r="F24" s="4">
        <f t="shared" si="2"/>
        <v>40000</v>
      </c>
      <c r="G24" s="4">
        <f t="shared" si="3"/>
        <v>10000</v>
      </c>
      <c r="H24" s="6">
        <f t="shared" si="4"/>
        <v>611.51</v>
      </c>
      <c r="I24" s="4">
        <f t="shared" si="5"/>
        <v>10611.51</v>
      </c>
      <c r="J24" s="24">
        <f t="shared" si="6"/>
        <v>900</v>
      </c>
      <c r="K24" s="4">
        <f t="shared" si="1"/>
        <v>11511.51</v>
      </c>
    </row>
    <row r="25" spans="3:11" ht="14.25">
      <c r="C25" s="18">
        <v>10</v>
      </c>
      <c r="D25" s="1">
        <f>_XLL.ДАТАМЕС($D$15,C25)</f>
        <v>42134</v>
      </c>
      <c r="E25" s="27">
        <f t="shared" si="0"/>
        <v>30</v>
      </c>
      <c r="F25" s="4">
        <f t="shared" si="2"/>
        <v>30000</v>
      </c>
      <c r="G25" s="4">
        <f t="shared" si="3"/>
        <v>10000</v>
      </c>
      <c r="H25" s="6">
        <f t="shared" si="4"/>
        <v>443.84</v>
      </c>
      <c r="I25" s="4">
        <f t="shared" si="5"/>
        <v>10443.84</v>
      </c>
      <c r="J25" s="24">
        <f t="shared" si="6"/>
        <v>900</v>
      </c>
      <c r="K25" s="4">
        <f t="shared" si="1"/>
        <v>11343.84</v>
      </c>
    </row>
    <row r="26" spans="3:11" ht="14.25">
      <c r="C26" s="18">
        <v>11</v>
      </c>
      <c r="D26" s="1">
        <f>_XLL.ДАТАМЕС($D$15,C26)</f>
        <v>42165</v>
      </c>
      <c r="E26" s="27">
        <f t="shared" si="0"/>
        <v>31</v>
      </c>
      <c r="F26" s="4">
        <f t="shared" si="2"/>
        <v>20000</v>
      </c>
      <c r="G26" s="4">
        <f t="shared" si="3"/>
        <v>10000</v>
      </c>
      <c r="H26" s="6">
        <f t="shared" si="4"/>
        <v>305.75</v>
      </c>
      <c r="I26" s="32">
        <f t="shared" si="5"/>
        <v>10305.75</v>
      </c>
      <c r="J26" s="24">
        <f t="shared" si="6"/>
        <v>900</v>
      </c>
      <c r="K26" s="4">
        <f t="shared" si="1"/>
        <v>11205.75</v>
      </c>
    </row>
    <row r="27" spans="3:11" ht="15" thickBot="1">
      <c r="C27" s="19">
        <v>12</v>
      </c>
      <c r="D27" s="11">
        <f>_XLL.ДАТАМЕС($D$15,C27)</f>
        <v>42195</v>
      </c>
      <c r="E27" s="28">
        <f t="shared" si="0"/>
        <v>30</v>
      </c>
      <c r="F27" s="12">
        <f t="shared" si="2"/>
        <v>10000</v>
      </c>
      <c r="G27" s="31">
        <f t="shared" si="3"/>
        <v>10000</v>
      </c>
      <c r="H27" s="13">
        <f t="shared" si="4"/>
        <v>147.95</v>
      </c>
      <c r="I27" s="31">
        <f t="shared" si="5"/>
        <v>10147.95</v>
      </c>
      <c r="J27" s="29">
        <f>J26</f>
        <v>900</v>
      </c>
      <c r="K27" s="12">
        <f t="shared" si="1"/>
        <v>11047.95</v>
      </c>
    </row>
    <row r="28" spans="3:11" ht="15" thickTop="1">
      <c r="C28" t="s">
        <v>11</v>
      </c>
      <c r="D28" s="30">
        <f>D27-D15</f>
        <v>365</v>
      </c>
      <c r="E28" s="6">
        <f>SUM(E16:E27)</f>
        <v>365</v>
      </c>
      <c r="G28" s="4">
        <f>SUM(G16:G27)</f>
        <v>120000</v>
      </c>
      <c r="H28" s="6">
        <f>SUM(H16:H27)</f>
        <v>11741.92</v>
      </c>
      <c r="I28" s="4">
        <f>SUM(I15:I27)</f>
        <v>11741.919999999998</v>
      </c>
      <c r="J28" s="24">
        <f>SUM(J16:J27)</f>
        <v>10800</v>
      </c>
      <c r="K28" s="4">
        <f>SUM(K15:K27)</f>
        <v>22541.92</v>
      </c>
    </row>
    <row r="29" ht="14.25">
      <c r="E2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N29"/>
  <sheetViews>
    <sheetView zoomScale="115" zoomScaleNormal="115" workbookViewId="0" topLeftCell="E1">
      <selection activeCell="L5" sqref="L5"/>
    </sheetView>
  </sheetViews>
  <sheetFormatPr defaultColWidth="9.140625" defaultRowHeight="15"/>
  <cols>
    <col min="3" max="3" width="10.140625" style="0" bestFit="1" customWidth="1"/>
    <col min="4" max="4" width="15.8515625" style="0" customWidth="1"/>
    <col min="5" max="5" width="11.140625" style="0" bestFit="1" customWidth="1"/>
    <col min="6" max="6" width="15.8515625" style="0" customWidth="1"/>
    <col min="7" max="7" width="12.421875" style="0" customWidth="1"/>
    <col min="8" max="8" width="13.140625" style="0" customWidth="1"/>
    <col min="9" max="10" width="14.00390625" style="0" customWidth="1"/>
    <col min="11" max="11" width="13.28125" style="0" customWidth="1"/>
    <col min="12" max="12" width="11.00390625" style="0" bestFit="1" customWidth="1"/>
    <col min="13" max="13" width="11.7109375" style="0" bestFit="1" customWidth="1"/>
    <col min="14" max="14" width="10.421875" style="0" bestFit="1" customWidth="1"/>
  </cols>
  <sheetData>
    <row r="2" spans="3:11" ht="14.25">
      <c r="C2" s="10" t="s">
        <v>17</v>
      </c>
      <c r="D2" s="10"/>
      <c r="E2" s="10"/>
      <c r="F2" s="10"/>
      <c r="H2" s="10" t="s">
        <v>0</v>
      </c>
      <c r="I2" s="10"/>
      <c r="J2" s="10"/>
      <c r="K2" s="10"/>
    </row>
    <row r="3" spans="3:12" ht="14.25">
      <c r="C3" t="s">
        <v>18</v>
      </c>
      <c r="F3" s="1">
        <v>41830</v>
      </c>
      <c r="J3" s="9"/>
      <c r="K3" s="4"/>
      <c r="L3" s="4"/>
    </row>
    <row r="4" spans="3:12" ht="14.25">
      <c r="C4" t="s">
        <v>19</v>
      </c>
      <c r="F4" s="24">
        <v>120000</v>
      </c>
      <c r="J4" s="9" t="s">
        <v>15</v>
      </c>
      <c r="K4" s="25">
        <f>_XLL.ЧИСТВНДОХ(K15:K27,D15:D27)</f>
        <v>0.3948675453662873</v>
      </c>
      <c r="L4" s="4"/>
    </row>
    <row r="5" spans="3:12" ht="14.25">
      <c r="C5" t="s">
        <v>21</v>
      </c>
      <c r="F5">
        <v>12</v>
      </c>
      <c r="J5" s="9" t="s">
        <v>16</v>
      </c>
      <c r="K5" s="3">
        <f>RATE(F5,-(K28+F4)/F5,F4)*12</f>
        <v>0.33037782442513797</v>
      </c>
      <c r="L5" s="3">
        <f>RATE(F5,-(N28+F4)/F5,F4)*12</f>
        <v>0.3607577920789738</v>
      </c>
    </row>
    <row r="6" spans="3:11" ht="14.25">
      <c r="C6" t="s">
        <v>20</v>
      </c>
      <c r="F6" s="2">
        <v>0.18</v>
      </c>
      <c r="J6" s="9" t="s">
        <v>13</v>
      </c>
      <c r="K6" s="4">
        <f>K28</f>
        <v>22541.92</v>
      </c>
    </row>
    <row r="7" spans="3:11" ht="14.25">
      <c r="C7" t="s">
        <v>22</v>
      </c>
      <c r="F7" s="24">
        <f>0.75%*F4</f>
        <v>900</v>
      </c>
      <c r="J7" s="9" t="s">
        <v>14</v>
      </c>
      <c r="K7" s="25">
        <f>K6/F4</f>
        <v>0.1878493333333333</v>
      </c>
    </row>
    <row r="8" spans="6:11" ht="14.25">
      <c r="F8" s="24"/>
      <c r="J8" s="9"/>
      <c r="K8" s="26"/>
    </row>
    <row r="9" ht="14.25">
      <c r="C9" s="3"/>
    </row>
    <row r="10" spans="3:11" ht="14.25">
      <c r="C10" t="s">
        <v>23</v>
      </c>
      <c r="K10" s="24">
        <f>F4</f>
        <v>120000</v>
      </c>
    </row>
    <row r="11" ht="14.25">
      <c r="C11" s="3"/>
    </row>
    <row r="12" ht="14.25">
      <c r="C12" s="3"/>
    </row>
    <row r="13" spans="3:11" ht="15">
      <c r="C13" s="20"/>
      <c r="D13" s="10"/>
      <c r="E13" s="10"/>
      <c r="F13" s="21" t="s">
        <v>12</v>
      </c>
      <c r="G13" s="10"/>
      <c r="H13" s="10"/>
      <c r="I13" s="10"/>
      <c r="J13" s="10"/>
      <c r="K13" s="10"/>
    </row>
    <row r="14" spans="3:12" ht="57.75" thickBot="1">
      <c r="C14" s="15" t="s">
        <v>10</v>
      </c>
      <c r="D14" s="15" t="s">
        <v>2</v>
      </c>
      <c r="E14" s="15" t="s">
        <v>3</v>
      </c>
      <c r="F14" s="15" t="s">
        <v>4</v>
      </c>
      <c r="G14" s="15" t="s">
        <v>5</v>
      </c>
      <c r="H14" s="15" t="s">
        <v>6</v>
      </c>
      <c r="I14" s="15" t="s">
        <v>7</v>
      </c>
      <c r="J14" s="15" t="s">
        <v>8</v>
      </c>
      <c r="K14" s="15" t="s">
        <v>9</v>
      </c>
      <c r="L14" s="15" t="s">
        <v>31</v>
      </c>
    </row>
    <row r="15" spans="3:11" ht="14.25">
      <c r="C15" s="18"/>
      <c r="D15" s="1">
        <f>F3</f>
        <v>41830</v>
      </c>
      <c r="E15" s="1"/>
      <c r="F15" s="4">
        <f>F4</f>
        <v>120000</v>
      </c>
      <c r="I15" s="4">
        <f>-F15</f>
        <v>-120000</v>
      </c>
      <c r="K15" s="4">
        <f>I15</f>
        <v>-120000</v>
      </c>
    </row>
    <row r="16" spans="3:13" ht="14.25">
      <c r="C16" s="18">
        <v>1</v>
      </c>
      <c r="D16" s="1">
        <f>_XLL.ДАТАМЕС($D$15,C16)</f>
        <v>41861</v>
      </c>
      <c r="E16" s="27">
        <f aca="true" t="shared" si="0" ref="E16:E27">D16-D15</f>
        <v>31</v>
      </c>
      <c r="F16" s="4">
        <f>F15</f>
        <v>120000</v>
      </c>
      <c r="G16" s="4">
        <f aca="true" t="shared" si="1" ref="G16:G27">$F$15/12</f>
        <v>10000</v>
      </c>
      <c r="H16" s="6">
        <f aca="true" t="shared" si="2" ref="H16:H27">ROUND(F16*($F$6/365*E16),2)</f>
        <v>1834.52</v>
      </c>
      <c r="I16" s="4">
        <f aca="true" t="shared" si="3" ref="I16:I27">G16+H16</f>
        <v>11834.52</v>
      </c>
      <c r="J16" s="24">
        <f>F7</f>
        <v>900</v>
      </c>
      <c r="K16" s="4">
        <f aca="true" t="shared" si="4" ref="K16:K27">J16+I16</f>
        <v>12734.52</v>
      </c>
      <c r="L16">
        <f>M16*$F$6*E17/365</f>
        <v>41.80444273972603</v>
      </c>
      <c r="M16" s="6">
        <f>H16+J16</f>
        <v>2734.52</v>
      </c>
    </row>
    <row r="17" spans="3:13" ht="14.25">
      <c r="C17" s="18">
        <v>2</v>
      </c>
      <c r="D17" s="1">
        <f>_XLL.ДАТАМЕС($D$15,C17)</f>
        <v>41892</v>
      </c>
      <c r="E17" s="27">
        <f t="shared" si="0"/>
        <v>31</v>
      </c>
      <c r="F17" s="4">
        <f aca="true" t="shared" si="5" ref="F17:F27">F16-G16</f>
        <v>110000</v>
      </c>
      <c r="G17" s="4">
        <f t="shared" si="1"/>
        <v>10000</v>
      </c>
      <c r="H17" s="6">
        <f t="shared" si="2"/>
        <v>1681.64</v>
      </c>
      <c r="I17" s="4">
        <f t="shared" si="3"/>
        <v>11681.64</v>
      </c>
      <c r="J17" s="24">
        <f aca="true" t="shared" si="6" ref="J17:J27">J16</f>
        <v>900</v>
      </c>
      <c r="K17" s="4">
        <f t="shared" si="4"/>
        <v>12581.64</v>
      </c>
      <c r="L17">
        <f>M17*$F$6*E18/365</f>
        <v>78.65003835616439</v>
      </c>
      <c r="M17" s="6">
        <f>H17+M16+J17</f>
        <v>5316.16</v>
      </c>
    </row>
    <row r="18" spans="3:13" ht="14.25">
      <c r="C18" s="18">
        <v>3</v>
      </c>
      <c r="D18" s="1">
        <f>_XLL.ДАТАМЕС($D$15,C18)</f>
        <v>41922</v>
      </c>
      <c r="E18" s="27">
        <f t="shared" si="0"/>
        <v>30</v>
      </c>
      <c r="F18" s="4">
        <f t="shared" si="5"/>
        <v>100000</v>
      </c>
      <c r="G18" s="4">
        <f t="shared" si="1"/>
        <v>10000</v>
      </c>
      <c r="H18" s="6">
        <f t="shared" si="2"/>
        <v>1479.45</v>
      </c>
      <c r="I18" s="4">
        <f t="shared" si="3"/>
        <v>11479.45</v>
      </c>
      <c r="J18" s="24">
        <f t="shared" si="6"/>
        <v>900</v>
      </c>
      <c r="K18" s="4">
        <f t="shared" si="4"/>
        <v>12379.45</v>
      </c>
      <c r="L18">
        <f aca="true" t="shared" si="7" ref="L18:L27">M18*$F$6*E19/365</f>
        <v>117.64795561643835</v>
      </c>
      <c r="M18" s="6">
        <f aca="true" t="shared" si="8" ref="M18:M27">H18+M17+J18</f>
        <v>7695.61</v>
      </c>
    </row>
    <row r="19" spans="3:13" ht="14.25">
      <c r="C19" s="18">
        <v>4</v>
      </c>
      <c r="D19" s="1">
        <f>_XLL.ДАТАМЕС($D$15,C19)</f>
        <v>41953</v>
      </c>
      <c r="E19" s="27">
        <f t="shared" si="0"/>
        <v>31</v>
      </c>
      <c r="F19" s="4">
        <f t="shared" si="5"/>
        <v>90000</v>
      </c>
      <c r="G19" s="4">
        <f t="shared" si="1"/>
        <v>10000</v>
      </c>
      <c r="H19" s="6">
        <f t="shared" si="2"/>
        <v>1375.89</v>
      </c>
      <c r="I19" s="4">
        <f t="shared" si="3"/>
        <v>11375.89</v>
      </c>
      <c r="J19" s="24">
        <f t="shared" si="6"/>
        <v>900</v>
      </c>
      <c r="K19" s="4">
        <f t="shared" si="4"/>
        <v>12275.89</v>
      </c>
      <c r="L19">
        <f t="shared" si="7"/>
        <v>147.52356164383562</v>
      </c>
      <c r="M19" s="6">
        <f t="shared" si="8"/>
        <v>9971.5</v>
      </c>
    </row>
    <row r="20" spans="3:13" ht="14.25">
      <c r="C20" s="18">
        <v>5</v>
      </c>
      <c r="D20" s="1">
        <f>_XLL.ДАТАМЕС($D$15,C20)</f>
        <v>41983</v>
      </c>
      <c r="E20" s="27">
        <f t="shared" si="0"/>
        <v>30</v>
      </c>
      <c r="F20" s="4">
        <f t="shared" si="5"/>
        <v>80000</v>
      </c>
      <c r="G20" s="4">
        <f t="shared" si="1"/>
        <v>10000</v>
      </c>
      <c r="H20" s="6">
        <f t="shared" si="2"/>
        <v>1183.56</v>
      </c>
      <c r="I20" s="4">
        <f t="shared" si="3"/>
        <v>11183.56</v>
      </c>
      <c r="J20" s="24">
        <f t="shared" si="6"/>
        <v>900</v>
      </c>
      <c r="K20" s="4">
        <f t="shared" si="4"/>
        <v>12083.56</v>
      </c>
      <c r="L20">
        <f t="shared" si="7"/>
        <v>184.2937939726027</v>
      </c>
      <c r="M20" s="6">
        <f t="shared" si="8"/>
        <v>12055.06</v>
      </c>
    </row>
    <row r="21" spans="3:13" ht="14.25">
      <c r="C21" s="18">
        <v>6</v>
      </c>
      <c r="D21" s="1">
        <f>_XLL.ДАТАМЕС($D$15,C21)</f>
        <v>42014</v>
      </c>
      <c r="E21" s="27">
        <f t="shared" si="0"/>
        <v>31</v>
      </c>
      <c r="F21" s="4">
        <f t="shared" si="5"/>
        <v>70000</v>
      </c>
      <c r="G21" s="4">
        <f t="shared" si="1"/>
        <v>10000</v>
      </c>
      <c r="H21" s="6">
        <f t="shared" si="2"/>
        <v>1070.14</v>
      </c>
      <c r="I21" s="4">
        <f t="shared" si="3"/>
        <v>11070.14</v>
      </c>
      <c r="J21" s="24">
        <f t="shared" si="6"/>
        <v>900</v>
      </c>
      <c r="K21" s="4">
        <f t="shared" si="4"/>
        <v>11970.14</v>
      </c>
      <c r="L21">
        <f t="shared" si="7"/>
        <v>214.41264657534245</v>
      </c>
      <c r="M21" s="6">
        <f t="shared" si="8"/>
        <v>14025.199999999999</v>
      </c>
    </row>
    <row r="22" spans="3:13" ht="14.25">
      <c r="C22" s="18">
        <v>7</v>
      </c>
      <c r="D22" s="1">
        <f>_XLL.ДАТАМЕС($D$15,C22)</f>
        <v>42045</v>
      </c>
      <c r="E22" s="27">
        <f t="shared" si="0"/>
        <v>31</v>
      </c>
      <c r="F22" s="4">
        <f t="shared" si="5"/>
        <v>60000</v>
      </c>
      <c r="G22" s="4">
        <f t="shared" si="1"/>
        <v>10000</v>
      </c>
      <c r="H22" s="6">
        <f t="shared" si="2"/>
        <v>917.26</v>
      </c>
      <c r="I22" s="4">
        <f t="shared" si="3"/>
        <v>10917.26</v>
      </c>
      <c r="J22" s="24">
        <f t="shared" si="6"/>
        <v>900</v>
      </c>
      <c r="K22" s="4">
        <f t="shared" si="4"/>
        <v>11817.26</v>
      </c>
      <c r="L22">
        <f t="shared" si="7"/>
        <v>218.75615999999994</v>
      </c>
      <c r="M22" s="6">
        <f t="shared" si="8"/>
        <v>15842.46</v>
      </c>
    </row>
    <row r="23" spans="3:13" ht="14.25">
      <c r="C23" s="18">
        <v>8</v>
      </c>
      <c r="D23" s="1">
        <f>_XLL.ДАТАМЕС($D$15,C23)</f>
        <v>42073</v>
      </c>
      <c r="E23" s="27">
        <f t="shared" si="0"/>
        <v>28</v>
      </c>
      <c r="F23" s="4">
        <f t="shared" si="5"/>
        <v>50000</v>
      </c>
      <c r="G23" s="4">
        <f t="shared" si="1"/>
        <v>10000</v>
      </c>
      <c r="H23" s="6">
        <f t="shared" si="2"/>
        <v>690.41</v>
      </c>
      <c r="I23" s="4">
        <f t="shared" si="3"/>
        <v>10690.41</v>
      </c>
      <c r="J23" s="24">
        <f t="shared" si="6"/>
        <v>900</v>
      </c>
      <c r="K23" s="4">
        <f t="shared" si="4"/>
        <v>11590.41</v>
      </c>
      <c r="L23">
        <f t="shared" si="7"/>
        <v>266.50798520547943</v>
      </c>
      <c r="M23" s="6">
        <f t="shared" si="8"/>
        <v>17432.87</v>
      </c>
    </row>
    <row r="24" spans="3:13" ht="14.25">
      <c r="C24" s="18">
        <v>9</v>
      </c>
      <c r="D24" s="1">
        <f>_XLL.ДАТАМЕС($D$15,C24)</f>
        <v>42104</v>
      </c>
      <c r="E24" s="27">
        <f t="shared" si="0"/>
        <v>31</v>
      </c>
      <c r="F24" s="4">
        <f t="shared" si="5"/>
        <v>40000</v>
      </c>
      <c r="G24" s="4">
        <f t="shared" si="1"/>
        <v>10000</v>
      </c>
      <c r="H24" s="6">
        <f t="shared" si="2"/>
        <v>611.51</v>
      </c>
      <c r="I24" s="4">
        <f t="shared" si="3"/>
        <v>10611.51</v>
      </c>
      <c r="J24" s="24">
        <f t="shared" si="6"/>
        <v>900</v>
      </c>
      <c r="K24" s="4">
        <f t="shared" si="4"/>
        <v>11511.51</v>
      </c>
      <c r="L24">
        <f t="shared" si="7"/>
        <v>280.2730191780821</v>
      </c>
      <c r="M24" s="6">
        <f t="shared" si="8"/>
        <v>18944.379999999997</v>
      </c>
    </row>
    <row r="25" spans="3:13" ht="14.25">
      <c r="C25" s="18">
        <v>10</v>
      </c>
      <c r="D25" s="1">
        <f>_XLL.ДАТАМЕС($D$15,C25)</f>
        <v>42134</v>
      </c>
      <c r="E25" s="27">
        <f t="shared" si="0"/>
        <v>30</v>
      </c>
      <c r="F25" s="4">
        <f t="shared" si="5"/>
        <v>30000</v>
      </c>
      <c r="G25" s="4">
        <f t="shared" si="1"/>
        <v>10000</v>
      </c>
      <c r="H25" s="6">
        <f t="shared" si="2"/>
        <v>443.84</v>
      </c>
      <c r="I25" s="4">
        <f t="shared" si="3"/>
        <v>10443.84</v>
      </c>
      <c r="J25" s="24">
        <f t="shared" si="6"/>
        <v>900</v>
      </c>
      <c r="K25" s="4">
        <f t="shared" si="4"/>
        <v>11343.84</v>
      </c>
      <c r="L25">
        <f t="shared" si="7"/>
        <v>310.1596372602739</v>
      </c>
      <c r="M25" s="6">
        <f t="shared" si="8"/>
        <v>20288.219999999998</v>
      </c>
    </row>
    <row r="26" spans="3:13" ht="14.25">
      <c r="C26" s="18">
        <v>11</v>
      </c>
      <c r="D26" s="1">
        <f>_XLL.ДАТАМЕС($D$15,C26)</f>
        <v>42165</v>
      </c>
      <c r="E26" s="27">
        <f t="shared" si="0"/>
        <v>31</v>
      </c>
      <c r="F26" s="4">
        <f t="shared" si="5"/>
        <v>20000</v>
      </c>
      <c r="G26" s="4">
        <f t="shared" si="1"/>
        <v>10000</v>
      </c>
      <c r="H26" s="6">
        <f t="shared" si="2"/>
        <v>305.75</v>
      </c>
      <c r="I26" s="32">
        <f t="shared" si="3"/>
        <v>10305.75</v>
      </c>
      <c r="J26" s="24">
        <f t="shared" si="6"/>
        <v>900</v>
      </c>
      <c r="K26" s="4">
        <f t="shared" si="4"/>
        <v>11205.75</v>
      </c>
      <c r="L26">
        <f>M26*$F$6*E27/365</f>
        <v>317.9929808219178</v>
      </c>
      <c r="M26" s="6">
        <f t="shared" si="8"/>
        <v>21493.969999999998</v>
      </c>
    </row>
    <row r="27" spans="3:13" ht="15" thickBot="1">
      <c r="C27" s="19">
        <v>12</v>
      </c>
      <c r="D27" s="11">
        <f>_XLL.ДАТАМЕС($D$15,C27)</f>
        <v>42195</v>
      </c>
      <c r="E27" s="28">
        <f t="shared" si="0"/>
        <v>30</v>
      </c>
      <c r="F27" s="12">
        <f t="shared" si="5"/>
        <v>10000</v>
      </c>
      <c r="G27" s="31">
        <f t="shared" si="1"/>
        <v>10000</v>
      </c>
      <c r="H27" s="13">
        <f t="shared" si="2"/>
        <v>147.95</v>
      </c>
      <c r="I27" s="31">
        <f t="shared" si="3"/>
        <v>10147.95</v>
      </c>
      <c r="J27" s="29">
        <f t="shared" si="6"/>
        <v>900</v>
      </c>
      <c r="K27" s="12">
        <f t="shared" si="4"/>
        <v>11047.95</v>
      </c>
      <c r="L27">
        <v>0</v>
      </c>
      <c r="M27" s="6">
        <f t="shared" si="8"/>
        <v>22541.92</v>
      </c>
    </row>
    <row r="28" spans="3:14" ht="15" thickTop="1">
      <c r="C28" t="s">
        <v>11</v>
      </c>
      <c r="D28" s="30">
        <f>D27-D15</f>
        <v>365</v>
      </c>
      <c r="E28" s="6">
        <f>SUM(E16:E27)</f>
        <v>365</v>
      </c>
      <c r="G28" s="4">
        <f>SUM(G16:G27)</f>
        <v>120000</v>
      </c>
      <c r="H28" s="6">
        <f>SUM(H16:H27)</f>
        <v>11741.92</v>
      </c>
      <c r="I28" s="4">
        <f>SUM(I15:I27)</f>
        <v>11741.919999999998</v>
      </c>
      <c r="J28" s="24">
        <f>SUM(J16:J27)</f>
        <v>10800</v>
      </c>
      <c r="K28" s="4">
        <f>SUM(K15:K27)</f>
        <v>22541.92</v>
      </c>
      <c r="L28" s="4">
        <f>SUM(L16:L27)</f>
        <v>2178.0222213698626</v>
      </c>
      <c r="N28" s="67">
        <f>K28+L28</f>
        <v>24719.94222136986</v>
      </c>
    </row>
    <row r="29" ht="14.25">
      <c r="E2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N29"/>
  <sheetViews>
    <sheetView zoomScale="115" zoomScaleNormal="115" workbookViewId="0" topLeftCell="E10">
      <selection activeCell="L26" sqref="L26"/>
    </sheetView>
  </sheetViews>
  <sheetFormatPr defaultColWidth="9.140625" defaultRowHeight="15"/>
  <cols>
    <col min="3" max="3" width="10.140625" style="0" bestFit="1" customWidth="1"/>
    <col min="4" max="4" width="15.8515625" style="0" customWidth="1"/>
    <col min="5" max="5" width="11.140625" style="0" bestFit="1" customWidth="1"/>
    <col min="6" max="6" width="15.8515625" style="0" customWidth="1"/>
    <col min="7" max="7" width="12.421875" style="0" customWidth="1"/>
    <col min="8" max="8" width="13.140625" style="0" customWidth="1"/>
    <col min="9" max="10" width="14.00390625" style="0" customWidth="1"/>
    <col min="11" max="11" width="13.28125" style="0" customWidth="1"/>
    <col min="12" max="12" width="11.00390625" style="0" bestFit="1" customWidth="1"/>
    <col min="13" max="13" width="11.7109375" style="0" bestFit="1" customWidth="1"/>
    <col min="14" max="14" width="10.421875" style="0" bestFit="1" customWidth="1"/>
  </cols>
  <sheetData>
    <row r="2" spans="3:11" ht="14.25">
      <c r="C2" s="10" t="s">
        <v>17</v>
      </c>
      <c r="D2" s="10"/>
      <c r="E2" s="10"/>
      <c r="F2" s="10"/>
      <c r="H2" s="10" t="s">
        <v>0</v>
      </c>
      <c r="I2" s="10"/>
      <c r="J2" s="10"/>
      <c r="K2" s="10"/>
    </row>
    <row r="3" spans="3:12" ht="14.25">
      <c r="C3" t="s">
        <v>18</v>
      </c>
      <c r="F3" s="1">
        <v>41830</v>
      </c>
      <c r="J3" s="9"/>
      <c r="K3" s="4"/>
      <c r="L3" s="4"/>
    </row>
    <row r="4" spans="3:12" ht="14.25">
      <c r="C4" t="s">
        <v>19</v>
      </c>
      <c r="F4" s="24">
        <v>120000</v>
      </c>
      <c r="J4" s="9" t="s">
        <v>15</v>
      </c>
      <c r="K4" s="25">
        <f>_XLL.ЧИСТВНДОХ(K15:K27,D15:D27)</f>
        <v>0.3948675453662873</v>
      </c>
      <c r="L4" s="4"/>
    </row>
    <row r="5" spans="3:12" ht="14.25">
      <c r="C5" t="s">
        <v>21</v>
      </c>
      <c r="F5">
        <v>12</v>
      </c>
      <c r="J5" s="9" t="s">
        <v>16</v>
      </c>
      <c r="K5" s="3">
        <f>RATE(F5,-(K28+F4)/F5,F4)*12</f>
        <v>0.33037782442513797</v>
      </c>
      <c r="L5" s="3">
        <f>RATE(F5,-(N28+F4)/F5,F4)*12</f>
        <v>0.3574031346178228</v>
      </c>
    </row>
    <row r="6" spans="3:11" ht="14.25">
      <c r="C6" t="s">
        <v>20</v>
      </c>
      <c r="F6" s="2">
        <v>0.18</v>
      </c>
      <c r="J6" s="9" t="s">
        <v>13</v>
      </c>
      <c r="K6" s="4">
        <f>K28</f>
        <v>22541.92</v>
      </c>
    </row>
    <row r="7" spans="3:11" ht="14.25">
      <c r="C7" t="s">
        <v>22</v>
      </c>
      <c r="F7" s="24">
        <f>0.75%*F4</f>
        <v>900</v>
      </c>
      <c r="J7" s="9" t="s">
        <v>14</v>
      </c>
      <c r="K7" s="25">
        <f>K6/F4</f>
        <v>0.1878493333333333</v>
      </c>
    </row>
    <row r="8" spans="6:11" ht="14.25">
      <c r="F8" s="24"/>
      <c r="J8" s="9"/>
      <c r="K8" s="26"/>
    </row>
    <row r="9" ht="14.25">
      <c r="C9" s="3"/>
    </row>
    <row r="10" spans="3:11" ht="14.25">
      <c r="C10" t="s">
        <v>23</v>
      </c>
      <c r="K10" s="24">
        <f>F4</f>
        <v>120000</v>
      </c>
    </row>
    <row r="11" ht="14.25">
      <c r="C11" s="3"/>
    </row>
    <row r="12" ht="14.25">
      <c r="C12" s="3"/>
    </row>
    <row r="13" spans="3:11" ht="15">
      <c r="C13" s="20"/>
      <c r="D13" s="10"/>
      <c r="E13" s="10"/>
      <c r="F13" s="21" t="s">
        <v>12</v>
      </c>
      <c r="G13" s="10"/>
      <c r="H13" s="10"/>
      <c r="I13" s="10"/>
      <c r="J13" s="10"/>
      <c r="K13" s="10"/>
    </row>
    <row r="14" spans="3:11" ht="57.75" thickBot="1">
      <c r="C14" s="15" t="s">
        <v>10</v>
      </c>
      <c r="D14" s="15" t="s">
        <v>2</v>
      </c>
      <c r="E14" s="15" t="s">
        <v>3</v>
      </c>
      <c r="F14" s="15" t="s">
        <v>4</v>
      </c>
      <c r="G14" s="15" t="s">
        <v>5</v>
      </c>
      <c r="H14" s="15" t="s">
        <v>6</v>
      </c>
      <c r="I14" s="15" t="s">
        <v>7</v>
      </c>
      <c r="J14" s="15" t="s">
        <v>8</v>
      </c>
      <c r="K14" s="15" t="s">
        <v>9</v>
      </c>
    </row>
    <row r="15" spans="3:11" ht="14.25">
      <c r="C15" s="18"/>
      <c r="D15" s="1">
        <f>F3</f>
        <v>41830</v>
      </c>
      <c r="E15" s="1"/>
      <c r="F15" s="4">
        <f>F4</f>
        <v>120000</v>
      </c>
      <c r="I15" s="4">
        <f>-F15</f>
        <v>-120000</v>
      </c>
      <c r="K15" s="4">
        <f>I15</f>
        <v>-120000</v>
      </c>
    </row>
    <row r="16" spans="3:13" ht="14.25">
      <c r="C16" s="18">
        <v>1</v>
      </c>
      <c r="D16" s="1">
        <f>_XLL.ДАТАМЕС($D$15,C16)</f>
        <v>41861</v>
      </c>
      <c r="E16" s="27">
        <f aca="true" t="shared" si="0" ref="E16:E27">D16-D15</f>
        <v>31</v>
      </c>
      <c r="F16" s="4">
        <f>F15</f>
        <v>120000</v>
      </c>
      <c r="G16" s="4">
        <f aca="true" t="shared" si="1" ref="G16:G27">$F$15/12</f>
        <v>10000</v>
      </c>
      <c r="H16" s="6">
        <f aca="true" t="shared" si="2" ref="H16:H27">ROUND(F16*($F$6/365*E16),2)</f>
        <v>1834.52</v>
      </c>
      <c r="I16" s="4">
        <f aca="true" t="shared" si="3" ref="I16:I27">G16+H16</f>
        <v>11834.52</v>
      </c>
      <c r="J16" s="24">
        <f>F7</f>
        <v>900</v>
      </c>
      <c r="K16" s="4">
        <f aca="true" t="shared" si="4" ref="K16:K27">J16+I16</f>
        <v>12734.52</v>
      </c>
      <c r="L16" s="6">
        <f>H16*(($F$6/365)*($E$28-E16))</f>
        <v>302.168061369863</v>
      </c>
      <c r="M16" s="6">
        <f>H16+J16</f>
        <v>2734.52</v>
      </c>
    </row>
    <row r="17" spans="3:13" ht="14.25">
      <c r="C17" s="18">
        <v>2</v>
      </c>
      <c r="D17" s="1">
        <f>_XLL.ДАТАМЕС($D$15,C17)</f>
        <v>41892</v>
      </c>
      <c r="E17" s="27">
        <f t="shared" si="0"/>
        <v>31</v>
      </c>
      <c r="F17" s="4">
        <f aca="true" t="shared" si="5" ref="F17:F27">F16-G16</f>
        <v>110000</v>
      </c>
      <c r="G17" s="4">
        <f t="shared" si="1"/>
        <v>10000</v>
      </c>
      <c r="H17" s="6">
        <f t="shared" si="2"/>
        <v>1681.64</v>
      </c>
      <c r="I17" s="4">
        <f t="shared" si="3"/>
        <v>11681.64</v>
      </c>
      <c r="J17" s="24">
        <f aca="true" t="shared" si="6" ref="J17:J27">J16</f>
        <v>900</v>
      </c>
      <c r="K17" s="4">
        <f t="shared" si="4"/>
        <v>12581.64</v>
      </c>
      <c r="L17" s="6">
        <f aca="true" t="shared" si="7" ref="L17:L27">H17*(($F$6/365)*($E$28-E17))</f>
        <v>276.9868405479452</v>
      </c>
      <c r="M17" s="6">
        <f aca="true" t="shared" si="8" ref="M17:M27">H17+M16+J17</f>
        <v>5316.16</v>
      </c>
    </row>
    <row r="18" spans="3:13" ht="14.25">
      <c r="C18" s="18">
        <v>3</v>
      </c>
      <c r="D18" s="1">
        <f>_XLL.ДАТАМЕС($D$15,C18)</f>
        <v>41922</v>
      </c>
      <c r="E18" s="27">
        <f t="shared" si="0"/>
        <v>30</v>
      </c>
      <c r="F18" s="4">
        <f t="shared" si="5"/>
        <v>100000</v>
      </c>
      <c r="G18" s="4">
        <f t="shared" si="1"/>
        <v>10000</v>
      </c>
      <c r="H18" s="6">
        <f t="shared" si="2"/>
        <v>1479.45</v>
      </c>
      <c r="I18" s="4">
        <f t="shared" si="3"/>
        <v>11479.45</v>
      </c>
      <c r="J18" s="24">
        <f t="shared" si="6"/>
        <v>900</v>
      </c>
      <c r="K18" s="4">
        <f t="shared" si="4"/>
        <v>12379.45</v>
      </c>
      <c r="L18" s="6">
        <f t="shared" si="7"/>
        <v>244.41324657534247</v>
      </c>
      <c r="M18" s="6">
        <f t="shared" si="8"/>
        <v>7695.61</v>
      </c>
    </row>
    <row r="19" spans="3:13" ht="14.25">
      <c r="C19" s="18">
        <v>4</v>
      </c>
      <c r="D19" s="1">
        <f>_XLL.ДАТАМЕС($D$15,C19)</f>
        <v>41953</v>
      </c>
      <c r="E19" s="27">
        <f t="shared" si="0"/>
        <v>31</v>
      </c>
      <c r="F19" s="4">
        <f t="shared" si="5"/>
        <v>90000</v>
      </c>
      <c r="G19" s="4">
        <f t="shared" si="1"/>
        <v>10000</v>
      </c>
      <c r="H19" s="6">
        <f t="shared" si="2"/>
        <v>1375.89</v>
      </c>
      <c r="I19" s="4">
        <f t="shared" si="3"/>
        <v>11375.89</v>
      </c>
      <c r="J19" s="24">
        <f t="shared" si="6"/>
        <v>900</v>
      </c>
      <c r="K19" s="4">
        <f t="shared" si="4"/>
        <v>12275.89</v>
      </c>
      <c r="L19" s="6">
        <f t="shared" si="7"/>
        <v>226.62604602739725</v>
      </c>
      <c r="M19" s="6">
        <f t="shared" si="8"/>
        <v>9971.5</v>
      </c>
    </row>
    <row r="20" spans="3:13" ht="14.25">
      <c r="C20" s="18">
        <v>5</v>
      </c>
      <c r="D20" s="1">
        <f>_XLL.ДАТАМЕС($D$15,C20)</f>
        <v>41983</v>
      </c>
      <c r="E20" s="27">
        <f t="shared" si="0"/>
        <v>30</v>
      </c>
      <c r="F20" s="4">
        <f t="shared" si="5"/>
        <v>80000</v>
      </c>
      <c r="G20" s="4">
        <f t="shared" si="1"/>
        <v>10000</v>
      </c>
      <c r="H20" s="6">
        <f t="shared" si="2"/>
        <v>1183.56</v>
      </c>
      <c r="I20" s="4">
        <f t="shared" si="3"/>
        <v>11183.56</v>
      </c>
      <c r="J20" s="24">
        <f t="shared" si="6"/>
        <v>900</v>
      </c>
      <c r="K20" s="4">
        <f t="shared" si="4"/>
        <v>12083.56</v>
      </c>
      <c r="L20" s="6">
        <f t="shared" si="7"/>
        <v>195.53059726027396</v>
      </c>
      <c r="M20" s="6">
        <f t="shared" si="8"/>
        <v>12055.06</v>
      </c>
    </row>
    <row r="21" spans="3:13" ht="14.25">
      <c r="C21" s="18">
        <v>6</v>
      </c>
      <c r="D21" s="1">
        <f>_XLL.ДАТАМЕС($D$15,C21)</f>
        <v>42014</v>
      </c>
      <c r="E21" s="27">
        <f t="shared" si="0"/>
        <v>31</v>
      </c>
      <c r="F21" s="4">
        <f t="shared" si="5"/>
        <v>70000</v>
      </c>
      <c r="G21" s="4">
        <f t="shared" si="1"/>
        <v>10000</v>
      </c>
      <c r="H21" s="6">
        <f t="shared" si="2"/>
        <v>1070.14</v>
      </c>
      <c r="I21" s="4">
        <f t="shared" si="3"/>
        <v>11070.14</v>
      </c>
      <c r="J21" s="24">
        <f t="shared" si="6"/>
        <v>900</v>
      </c>
      <c r="K21" s="4">
        <f t="shared" si="4"/>
        <v>11970.14</v>
      </c>
      <c r="L21" s="6">
        <f t="shared" si="7"/>
        <v>176.26525150684932</v>
      </c>
      <c r="M21" s="6">
        <f t="shared" si="8"/>
        <v>14025.199999999999</v>
      </c>
    </row>
    <row r="22" spans="3:13" ht="14.25">
      <c r="C22" s="18">
        <v>7</v>
      </c>
      <c r="D22" s="1">
        <f>_XLL.ДАТАМЕС($D$15,C22)</f>
        <v>42045</v>
      </c>
      <c r="E22" s="27">
        <f t="shared" si="0"/>
        <v>31</v>
      </c>
      <c r="F22" s="4">
        <f t="shared" si="5"/>
        <v>60000</v>
      </c>
      <c r="G22" s="4">
        <f t="shared" si="1"/>
        <v>10000</v>
      </c>
      <c r="H22" s="6">
        <f t="shared" si="2"/>
        <v>917.26</v>
      </c>
      <c r="I22" s="4">
        <f t="shared" si="3"/>
        <v>10917.26</v>
      </c>
      <c r="J22" s="24">
        <f t="shared" si="6"/>
        <v>900</v>
      </c>
      <c r="K22" s="4">
        <f t="shared" si="4"/>
        <v>11817.26</v>
      </c>
      <c r="L22" s="6">
        <f t="shared" si="7"/>
        <v>151.0840306849315</v>
      </c>
      <c r="M22" s="6">
        <f t="shared" si="8"/>
        <v>15842.46</v>
      </c>
    </row>
    <row r="23" spans="3:13" ht="14.25">
      <c r="C23" s="18">
        <v>8</v>
      </c>
      <c r="D23" s="1">
        <f>_XLL.ДАТАМЕС($D$15,C23)</f>
        <v>42073</v>
      </c>
      <c r="E23" s="27">
        <f t="shared" si="0"/>
        <v>28</v>
      </c>
      <c r="F23" s="4">
        <f t="shared" si="5"/>
        <v>50000</v>
      </c>
      <c r="G23" s="4">
        <f t="shared" si="1"/>
        <v>10000</v>
      </c>
      <c r="H23" s="6">
        <f t="shared" si="2"/>
        <v>690.41</v>
      </c>
      <c r="I23" s="4">
        <f t="shared" si="3"/>
        <v>10690.41</v>
      </c>
      <c r="J23" s="24">
        <f t="shared" si="6"/>
        <v>900</v>
      </c>
      <c r="K23" s="4">
        <f t="shared" si="4"/>
        <v>11590.41</v>
      </c>
      <c r="L23" s="6">
        <f t="shared" si="7"/>
        <v>114.74046739726026</v>
      </c>
      <c r="M23" s="6">
        <f t="shared" si="8"/>
        <v>17432.87</v>
      </c>
    </row>
    <row r="24" spans="3:13" ht="14.25">
      <c r="C24" s="18">
        <v>9</v>
      </c>
      <c r="D24" s="1">
        <f>_XLL.ДАТАМЕС($D$15,C24)</f>
        <v>42104</v>
      </c>
      <c r="E24" s="27">
        <f t="shared" si="0"/>
        <v>31</v>
      </c>
      <c r="F24" s="4">
        <f t="shared" si="5"/>
        <v>40000</v>
      </c>
      <c r="G24" s="4">
        <f t="shared" si="1"/>
        <v>10000</v>
      </c>
      <c r="H24" s="6">
        <f t="shared" si="2"/>
        <v>611.51</v>
      </c>
      <c r="I24" s="4">
        <f t="shared" si="3"/>
        <v>10611.51</v>
      </c>
      <c r="J24" s="24">
        <f t="shared" si="6"/>
        <v>900</v>
      </c>
      <c r="K24" s="4">
        <f t="shared" si="4"/>
        <v>11511.51</v>
      </c>
      <c r="L24" s="6">
        <f t="shared" si="7"/>
        <v>100.72323616438355</v>
      </c>
      <c r="M24" s="6">
        <f t="shared" si="8"/>
        <v>18944.379999999997</v>
      </c>
    </row>
    <row r="25" spans="3:13" ht="14.25">
      <c r="C25" s="18">
        <v>10</v>
      </c>
      <c r="D25" s="1">
        <f>_XLL.ДАТАМЕС($D$15,C25)</f>
        <v>42134</v>
      </c>
      <c r="E25" s="27">
        <f t="shared" si="0"/>
        <v>30</v>
      </c>
      <c r="F25" s="4">
        <f t="shared" si="5"/>
        <v>30000</v>
      </c>
      <c r="G25" s="4">
        <f t="shared" si="1"/>
        <v>10000</v>
      </c>
      <c r="H25" s="6">
        <f t="shared" si="2"/>
        <v>443.84</v>
      </c>
      <c r="I25" s="4">
        <f t="shared" si="3"/>
        <v>10443.84</v>
      </c>
      <c r="J25" s="24">
        <f t="shared" si="6"/>
        <v>900</v>
      </c>
      <c r="K25" s="4">
        <f t="shared" si="4"/>
        <v>11343.84</v>
      </c>
      <c r="L25" s="6">
        <f>H25*(($F$6/365)*($E$28-E25))</f>
        <v>73.3248</v>
      </c>
      <c r="M25" s="6">
        <f t="shared" si="8"/>
        <v>20288.219999999998</v>
      </c>
    </row>
    <row r="26" spans="3:13" ht="14.25">
      <c r="C26" s="18">
        <v>11</v>
      </c>
      <c r="D26" s="1">
        <f>_XLL.ДАТАМЕС($D$15,C26)</f>
        <v>42165</v>
      </c>
      <c r="E26" s="27">
        <f t="shared" si="0"/>
        <v>31</v>
      </c>
      <c r="F26" s="4">
        <f t="shared" si="5"/>
        <v>20000</v>
      </c>
      <c r="G26" s="4">
        <f t="shared" si="1"/>
        <v>10000</v>
      </c>
      <c r="H26" s="6">
        <f t="shared" si="2"/>
        <v>305.75</v>
      </c>
      <c r="I26" s="32">
        <f t="shared" si="3"/>
        <v>10305.75</v>
      </c>
      <c r="J26" s="24">
        <f t="shared" si="6"/>
        <v>900</v>
      </c>
      <c r="K26" s="4">
        <f t="shared" si="4"/>
        <v>11205.75</v>
      </c>
      <c r="L26" s="6">
        <f t="shared" si="7"/>
        <v>50.36079452054794</v>
      </c>
      <c r="M26" s="6">
        <f t="shared" si="8"/>
        <v>21493.969999999998</v>
      </c>
    </row>
    <row r="27" spans="3:13" ht="15" thickBot="1">
      <c r="C27" s="19">
        <v>12</v>
      </c>
      <c r="D27" s="11">
        <f>_XLL.ДАТАМЕС($D$15,C27)</f>
        <v>42195</v>
      </c>
      <c r="E27" s="28">
        <f t="shared" si="0"/>
        <v>30</v>
      </c>
      <c r="F27" s="12">
        <f t="shared" si="5"/>
        <v>10000</v>
      </c>
      <c r="G27" s="31">
        <f t="shared" si="1"/>
        <v>10000</v>
      </c>
      <c r="H27" s="13">
        <f t="shared" si="2"/>
        <v>147.95</v>
      </c>
      <c r="I27" s="31">
        <f t="shared" si="3"/>
        <v>10147.95</v>
      </c>
      <c r="J27" s="29">
        <f t="shared" si="6"/>
        <v>900</v>
      </c>
      <c r="K27" s="12">
        <f t="shared" si="4"/>
        <v>11047.95</v>
      </c>
      <c r="L27" s="6">
        <f t="shared" si="7"/>
        <v>24.442150684931505</v>
      </c>
      <c r="M27" s="6">
        <f t="shared" si="8"/>
        <v>22541.92</v>
      </c>
    </row>
    <row r="28" spans="3:14" ht="15" thickTop="1">
      <c r="C28" t="s">
        <v>11</v>
      </c>
      <c r="D28" s="30">
        <f>D27-D15</f>
        <v>365</v>
      </c>
      <c r="E28" s="6">
        <f>SUM(E16:E27)</f>
        <v>365</v>
      </c>
      <c r="G28" s="4">
        <f>SUM(G16:G27)</f>
        <v>120000</v>
      </c>
      <c r="H28" s="6">
        <f>SUM(H16:H27)</f>
        <v>11741.92</v>
      </c>
      <c r="I28" s="4">
        <f>SUM(I15:I27)</f>
        <v>11741.919999999998</v>
      </c>
      <c r="J28" s="24">
        <f>SUM(J16:J27)</f>
        <v>10800</v>
      </c>
      <c r="K28" s="4">
        <f>SUM(K15:K27)</f>
        <v>22541.92</v>
      </c>
      <c r="L28" s="4">
        <f>SUM(L16:L27)</f>
        <v>1936.665522739726</v>
      </c>
      <c r="N28" s="4">
        <f>K28+L28</f>
        <v>24478.585522739726</v>
      </c>
    </row>
    <row r="29" ht="14.25">
      <c r="E2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M29"/>
  <sheetViews>
    <sheetView tabSelected="1" zoomScale="115" zoomScaleNormal="115" workbookViewId="0" topLeftCell="D1">
      <selection activeCell="L1" sqref="L1:L16384"/>
    </sheetView>
  </sheetViews>
  <sheetFormatPr defaultColWidth="9.140625" defaultRowHeight="15"/>
  <cols>
    <col min="3" max="3" width="10.140625" style="0" bestFit="1" customWidth="1"/>
    <col min="4" max="4" width="15.8515625" style="0" customWidth="1"/>
    <col min="5" max="5" width="11.140625" style="0" bestFit="1" customWidth="1"/>
    <col min="6" max="6" width="15.8515625" style="0" customWidth="1"/>
    <col min="7" max="7" width="12.421875" style="0" customWidth="1"/>
    <col min="8" max="8" width="13.140625" style="0" customWidth="1"/>
    <col min="9" max="10" width="14.00390625" style="0" customWidth="1"/>
    <col min="11" max="11" width="13.28125" style="0" customWidth="1"/>
    <col min="12" max="12" width="11.140625" style="0" hidden="1" customWidth="1"/>
  </cols>
  <sheetData>
    <row r="2" spans="3:11" ht="14.25">
      <c r="C2" s="10" t="s">
        <v>17</v>
      </c>
      <c r="D2" s="10"/>
      <c r="E2" s="10"/>
      <c r="F2" s="10"/>
      <c r="H2" s="10" t="s">
        <v>0</v>
      </c>
      <c r="I2" s="10"/>
      <c r="J2" s="10"/>
      <c r="K2" s="10"/>
    </row>
    <row r="3" spans="3:12" ht="14.25">
      <c r="C3" t="s">
        <v>18</v>
      </c>
      <c r="F3" s="1">
        <v>41830</v>
      </c>
      <c r="J3" s="9" t="s">
        <v>1</v>
      </c>
      <c r="K3" s="4">
        <f>-PMT(F6/12,F5,F4)</f>
        <v>11001.599148747568</v>
      </c>
      <c r="L3" s="4"/>
    </row>
    <row r="4" spans="3:12" ht="14.25">
      <c r="C4" t="s">
        <v>19</v>
      </c>
      <c r="F4" s="24">
        <v>120000</v>
      </c>
      <c r="J4" s="9" t="s">
        <v>15</v>
      </c>
      <c r="K4" s="25">
        <f>_XLL.ЧИСТВНДОХ(K15:K27,D15:D27)</f>
        <v>0.38955262303352356</v>
      </c>
      <c r="L4" s="25">
        <f>_XLL.ЧИСТВНДОХ(I15:I27,D15:D27)</f>
        <v>0.19561136364936832</v>
      </c>
    </row>
    <row r="5" spans="3:13" ht="14.25">
      <c r="C5" t="s">
        <v>21</v>
      </c>
      <c r="F5">
        <v>12</v>
      </c>
      <c r="J5" s="9" t="s">
        <v>16</v>
      </c>
      <c r="K5" s="3">
        <f>RATE(F5,-(K28+F4)/F5,F4)*12</f>
        <v>0.3349652333895586</v>
      </c>
      <c r="L5" s="3">
        <f>_XLL.ЭФФЕКТ(F6,F5)</f>
        <v>0.19561817146153393</v>
      </c>
      <c r="M5" s="4"/>
    </row>
    <row r="6" spans="3:11" ht="14.25">
      <c r="C6" t="s">
        <v>20</v>
      </c>
      <c r="F6" s="2">
        <v>0.18</v>
      </c>
      <c r="J6" s="9" t="s">
        <v>13</v>
      </c>
      <c r="K6" s="4">
        <f>K28</f>
        <v>22869.690000000028</v>
      </c>
    </row>
    <row r="7" spans="3:11" ht="14.25">
      <c r="C7" t="s">
        <v>22</v>
      </c>
      <c r="F7" s="24">
        <f>0.75%*F4</f>
        <v>900</v>
      </c>
      <c r="J7" s="9" t="s">
        <v>14</v>
      </c>
      <c r="K7" s="25">
        <f>K6/F4</f>
        <v>0.19058075000000024</v>
      </c>
    </row>
    <row r="8" spans="6:11" ht="14.25">
      <c r="F8" s="24"/>
      <c r="J8" s="9"/>
      <c r="K8" s="26"/>
    </row>
    <row r="9" ht="14.25">
      <c r="C9" s="3"/>
    </row>
    <row r="10" spans="3:11" ht="14.25">
      <c r="C10" t="s">
        <v>23</v>
      </c>
      <c r="K10" s="24">
        <f>F4</f>
        <v>120000</v>
      </c>
    </row>
    <row r="11" ht="14.25">
      <c r="C11" s="3"/>
    </row>
    <row r="12" ht="14.25">
      <c r="C12" s="3"/>
    </row>
    <row r="13" spans="3:11" ht="15">
      <c r="C13" s="20"/>
      <c r="D13" s="10"/>
      <c r="E13" s="10"/>
      <c r="F13" s="21" t="s">
        <v>12</v>
      </c>
      <c r="G13" s="10"/>
      <c r="H13" s="10"/>
      <c r="I13" s="10"/>
      <c r="J13" s="10"/>
      <c r="K13" s="10"/>
    </row>
    <row r="14" spans="3:11" ht="57.75" thickBot="1">
      <c r="C14" s="15" t="s">
        <v>10</v>
      </c>
      <c r="D14" s="15" t="s">
        <v>2</v>
      </c>
      <c r="E14" s="15" t="s">
        <v>3</v>
      </c>
      <c r="F14" s="15" t="s">
        <v>4</v>
      </c>
      <c r="G14" s="15" t="s">
        <v>5</v>
      </c>
      <c r="H14" s="15" t="s">
        <v>6</v>
      </c>
      <c r="I14" s="15" t="s">
        <v>7</v>
      </c>
      <c r="J14" s="15" t="s">
        <v>8</v>
      </c>
      <c r="K14" s="15" t="s">
        <v>9</v>
      </c>
    </row>
    <row r="15" spans="3:11" ht="14.25">
      <c r="C15" s="18"/>
      <c r="D15" s="1">
        <f>F3</f>
        <v>41830</v>
      </c>
      <c r="E15" s="1"/>
      <c r="F15" s="4">
        <f>F4</f>
        <v>120000</v>
      </c>
      <c r="I15" s="4">
        <f>-F15</f>
        <v>-120000</v>
      </c>
      <c r="K15" s="4">
        <f>I15</f>
        <v>-120000</v>
      </c>
    </row>
    <row r="16" spans="3:11" ht="14.25">
      <c r="C16" s="18">
        <v>1</v>
      </c>
      <c r="D16" s="1">
        <f>_XLL.ДАТАМЕС($D$15,C16)</f>
        <v>41861</v>
      </c>
      <c r="E16" s="27">
        <f aca="true" t="shared" si="0" ref="E16:E27">D16-D15</f>
        <v>31</v>
      </c>
      <c r="F16" s="4">
        <f>F15</f>
        <v>120000</v>
      </c>
      <c r="G16" s="4">
        <f aca="true" t="shared" si="1" ref="G16:G26">I16-H16</f>
        <v>9167.08</v>
      </c>
      <c r="H16" s="6">
        <f aca="true" t="shared" si="2" ref="H16:H27">ROUND(F16*($F$6/365*E16),2)</f>
        <v>1834.52</v>
      </c>
      <c r="I16" s="4">
        <f>ROUND(K3,2)</f>
        <v>11001.6</v>
      </c>
      <c r="J16" s="24">
        <f>F7</f>
        <v>900</v>
      </c>
      <c r="K16" s="4">
        <f aca="true" t="shared" si="3" ref="K16:K27">J16+I16</f>
        <v>11901.6</v>
      </c>
    </row>
    <row r="17" spans="3:11" ht="14.25">
      <c r="C17" s="18">
        <v>2</v>
      </c>
      <c r="D17" s="1">
        <f>_XLL.ДАТАМЕС($D$15,C17)</f>
        <v>41892</v>
      </c>
      <c r="E17" s="27">
        <f t="shared" si="0"/>
        <v>31</v>
      </c>
      <c r="F17" s="4">
        <f aca="true" t="shared" si="4" ref="F17:F27">F16-G16</f>
        <v>110832.92</v>
      </c>
      <c r="G17" s="4">
        <f t="shared" si="1"/>
        <v>9307.220000000001</v>
      </c>
      <c r="H17" s="6">
        <f t="shared" si="2"/>
        <v>1694.38</v>
      </c>
      <c r="I17" s="4">
        <f aca="true" t="shared" si="5" ref="I17:I26">I16</f>
        <v>11001.6</v>
      </c>
      <c r="J17" s="24">
        <f aca="true" t="shared" si="6" ref="J17:J26">J16</f>
        <v>900</v>
      </c>
      <c r="K17" s="4">
        <f t="shared" si="3"/>
        <v>11901.6</v>
      </c>
    </row>
    <row r="18" spans="3:11" ht="14.25">
      <c r="C18" s="18">
        <v>3</v>
      </c>
      <c r="D18" s="1">
        <f>_XLL.ДАТАМЕС($D$15,C18)</f>
        <v>41922</v>
      </c>
      <c r="E18" s="27">
        <f t="shared" si="0"/>
        <v>30</v>
      </c>
      <c r="F18" s="4">
        <f t="shared" si="4"/>
        <v>101525.7</v>
      </c>
      <c r="G18" s="4">
        <f t="shared" si="1"/>
        <v>9499.58</v>
      </c>
      <c r="H18" s="6">
        <f t="shared" si="2"/>
        <v>1502.02</v>
      </c>
      <c r="I18" s="4">
        <f t="shared" si="5"/>
        <v>11001.6</v>
      </c>
      <c r="J18" s="24">
        <f t="shared" si="6"/>
        <v>900</v>
      </c>
      <c r="K18" s="4">
        <f t="shared" si="3"/>
        <v>11901.6</v>
      </c>
    </row>
    <row r="19" spans="3:11" ht="14.25">
      <c r="C19" s="18">
        <v>4</v>
      </c>
      <c r="D19" s="1">
        <f>_XLL.ДАТАМЕС($D$15,C19)</f>
        <v>41953</v>
      </c>
      <c r="E19" s="27">
        <f t="shared" si="0"/>
        <v>31</v>
      </c>
      <c r="F19" s="4">
        <f t="shared" si="4"/>
        <v>92026.12</v>
      </c>
      <c r="G19" s="4">
        <f t="shared" si="1"/>
        <v>9594.73</v>
      </c>
      <c r="H19" s="6">
        <f t="shared" si="2"/>
        <v>1406.87</v>
      </c>
      <c r="I19" s="4">
        <f t="shared" si="5"/>
        <v>11001.6</v>
      </c>
      <c r="J19" s="24">
        <f t="shared" si="6"/>
        <v>900</v>
      </c>
      <c r="K19" s="4">
        <f t="shared" si="3"/>
        <v>11901.6</v>
      </c>
    </row>
    <row r="20" spans="3:11" ht="14.25">
      <c r="C20" s="18">
        <v>5</v>
      </c>
      <c r="D20" s="1">
        <f>_XLL.ДАТАМЕС($D$15,C20)</f>
        <v>41983</v>
      </c>
      <c r="E20" s="27">
        <f t="shared" si="0"/>
        <v>30</v>
      </c>
      <c r="F20" s="4">
        <f t="shared" si="4"/>
        <v>82431.39</v>
      </c>
      <c r="G20" s="4">
        <f t="shared" si="1"/>
        <v>9782.07</v>
      </c>
      <c r="H20" s="6">
        <f t="shared" si="2"/>
        <v>1219.53</v>
      </c>
      <c r="I20" s="4">
        <f t="shared" si="5"/>
        <v>11001.6</v>
      </c>
      <c r="J20" s="24">
        <f t="shared" si="6"/>
        <v>900</v>
      </c>
      <c r="K20" s="4">
        <f t="shared" si="3"/>
        <v>11901.6</v>
      </c>
    </row>
    <row r="21" spans="3:11" ht="14.25">
      <c r="C21" s="18">
        <v>6</v>
      </c>
      <c r="D21" s="1">
        <f>_XLL.ДАТАМЕС($D$15,C21)</f>
        <v>42014</v>
      </c>
      <c r="E21" s="27">
        <f t="shared" si="0"/>
        <v>31</v>
      </c>
      <c r="F21" s="4">
        <f t="shared" si="4"/>
        <v>72649.32</v>
      </c>
      <c r="G21" s="4">
        <f t="shared" si="1"/>
        <v>9890.960000000001</v>
      </c>
      <c r="H21" s="6">
        <f t="shared" si="2"/>
        <v>1110.64</v>
      </c>
      <c r="I21" s="4">
        <f t="shared" si="5"/>
        <v>11001.6</v>
      </c>
      <c r="J21" s="24">
        <f t="shared" si="6"/>
        <v>900</v>
      </c>
      <c r="K21" s="4">
        <f t="shared" si="3"/>
        <v>11901.6</v>
      </c>
    </row>
    <row r="22" spans="3:11" ht="14.25">
      <c r="C22" s="18">
        <v>7</v>
      </c>
      <c r="D22" s="1">
        <f>_XLL.ДАТАМЕС($D$15,C22)</f>
        <v>42045</v>
      </c>
      <c r="E22" s="27">
        <f t="shared" si="0"/>
        <v>31</v>
      </c>
      <c r="F22" s="4">
        <f t="shared" si="4"/>
        <v>62758.36000000001</v>
      </c>
      <c r="G22" s="4">
        <f t="shared" si="1"/>
        <v>10042.17</v>
      </c>
      <c r="H22" s="6">
        <f t="shared" si="2"/>
        <v>959.43</v>
      </c>
      <c r="I22" s="4">
        <f t="shared" si="5"/>
        <v>11001.6</v>
      </c>
      <c r="J22" s="24">
        <f t="shared" si="6"/>
        <v>900</v>
      </c>
      <c r="K22" s="4">
        <f t="shared" si="3"/>
        <v>11901.6</v>
      </c>
    </row>
    <row r="23" spans="3:11" ht="14.25">
      <c r="C23" s="18">
        <v>8</v>
      </c>
      <c r="D23" s="1">
        <f>_XLL.ДАТАМЕС($D$15,C23)</f>
        <v>42073</v>
      </c>
      <c r="E23" s="27">
        <f t="shared" si="0"/>
        <v>28</v>
      </c>
      <c r="F23" s="4">
        <f t="shared" si="4"/>
        <v>52716.19000000001</v>
      </c>
      <c r="G23" s="4">
        <f t="shared" si="1"/>
        <v>10273.68</v>
      </c>
      <c r="H23" s="6">
        <f t="shared" si="2"/>
        <v>727.92</v>
      </c>
      <c r="I23" s="4">
        <f t="shared" si="5"/>
        <v>11001.6</v>
      </c>
      <c r="J23" s="24">
        <f t="shared" si="6"/>
        <v>900</v>
      </c>
      <c r="K23" s="4">
        <f t="shared" si="3"/>
        <v>11901.6</v>
      </c>
    </row>
    <row r="24" spans="3:11" ht="14.25">
      <c r="C24" s="18">
        <v>9</v>
      </c>
      <c r="D24" s="1">
        <f>_XLL.ДАТАМЕС($D$15,C24)</f>
        <v>42104</v>
      </c>
      <c r="E24" s="27">
        <f t="shared" si="0"/>
        <v>31</v>
      </c>
      <c r="F24" s="4">
        <f t="shared" si="4"/>
        <v>42442.51000000001</v>
      </c>
      <c r="G24" s="4">
        <f t="shared" si="1"/>
        <v>10352.75</v>
      </c>
      <c r="H24" s="6">
        <f t="shared" si="2"/>
        <v>648.85</v>
      </c>
      <c r="I24" s="4">
        <f t="shared" si="5"/>
        <v>11001.6</v>
      </c>
      <c r="J24" s="24">
        <f t="shared" si="6"/>
        <v>900</v>
      </c>
      <c r="K24" s="4">
        <f t="shared" si="3"/>
        <v>11901.6</v>
      </c>
    </row>
    <row r="25" spans="3:11" ht="14.25">
      <c r="C25" s="18">
        <v>10</v>
      </c>
      <c r="D25" s="1">
        <f>_XLL.ДАТАМЕС($D$15,C25)</f>
        <v>42134</v>
      </c>
      <c r="E25" s="27">
        <f t="shared" si="0"/>
        <v>30</v>
      </c>
      <c r="F25" s="4">
        <f t="shared" si="4"/>
        <v>32089.76000000001</v>
      </c>
      <c r="G25" s="4">
        <f t="shared" si="1"/>
        <v>10526.85</v>
      </c>
      <c r="H25" s="6">
        <f t="shared" si="2"/>
        <v>474.75</v>
      </c>
      <c r="I25" s="4">
        <f t="shared" si="5"/>
        <v>11001.6</v>
      </c>
      <c r="J25" s="24">
        <f t="shared" si="6"/>
        <v>900</v>
      </c>
      <c r="K25" s="4">
        <f t="shared" si="3"/>
        <v>11901.6</v>
      </c>
    </row>
    <row r="26" spans="3:11" ht="14.25">
      <c r="C26" s="18">
        <v>11</v>
      </c>
      <c r="D26" s="1">
        <f>_XLL.ДАТАМЕС($D$15,C26)</f>
        <v>42165</v>
      </c>
      <c r="E26" s="27">
        <f t="shared" si="0"/>
        <v>31</v>
      </c>
      <c r="F26" s="4">
        <f t="shared" si="4"/>
        <v>21562.91000000001</v>
      </c>
      <c r="G26" s="4">
        <f t="shared" si="1"/>
        <v>10671.95</v>
      </c>
      <c r="H26" s="6">
        <f t="shared" si="2"/>
        <v>329.65</v>
      </c>
      <c r="I26" s="4">
        <f t="shared" si="5"/>
        <v>11001.6</v>
      </c>
      <c r="J26" s="24">
        <f t="shared" si="6"/>
        <v>900</v>
      </c>
      <c r="K26" s="4">
        <f t="shared" si="3"/>
        <v>11901.6</v>
      </c>
    </row>
    <row r="27" spans="3:11" ht="15" thickBot="1">
      <c r="C27" s="19">
        <v>12</v>
      </c>
      <c r="D27" s="11">
        <f>_XLL.ДАТАМЕС($D$15,C27)</f>
        <v>42195</v>
      </c>
      <c r="E27" s="28">
        <f t="shared" si="0"/>
        <v>30</v>
      </c>
      <c r="F27" s="12">
        <f t="shared" si="4"/>
        <v>10890.96000000001</v>
      </c>
      <c r="G27" s="12">
        <f>F27</f>
        <v>10890.96000000001</v>
      </c>
      <c r="H27" s="13">
        <f t="shared" si="2"/>
        <v>161.13</v>
      </c>
      <c r="I27" s="22">
        <f>G27+H27</f>
        <v>11052.09000000001</v>
      </c>
      <c r="J27" s="29">
        <f>J26</f>
        <v>900</v>
      </c>
      <c r="K27" s="12">
        <f t="shared" si="3"/>
        <v>11952.09000000001</v>
      </c>
    </row>
    <row r="28" spans="3:11" ht="15" thickTop="1">
      <c r="C28" t="s">
        <v>11</v>
      </c>
      <c r="D28" s="30">
        <f>D27-D15</f>
        <v>365</v>
      </c>
      <c r="E28" s="6">
        <f>SUM(E16:E27)</f>
        <v>365</v>
      </c>
      <c r="G28" s="4">
        <f>SUM(G16:G27)</f>
        <v>120000</v>
      </c>
      <c r="H28" s="6">
        <f>SUM(H16:H27)</f>
        <v>12069.689999999999</v>
      </c>
      <c r="I28" s="4">
        <f>SUM(I15:I27)</f>
        <v>12069.690000000026</v>
      </c>
      <c r="J28" s="24">
        <f>SUM(J16:J27)</f>
        <v>10800</v>
      </c>
      <c r="K28" s="4">
        <f>SUM(K15:K27)</f>
        <v>22869.690000000028</v>
      </c>
    </row>
    <row r="29" ht="14.25">
      <c r="E2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Ходос Вадим Владимирович</dc:creator>
  <cp:keywords/>
  <dc:description/>
  <cp:lastModifiedBy>User</cp:lastModifiedBy>
  <dcterms:created xsi:type="dcterms:W3CDTF">2014-06-30T15:21:04Z</dcterms:created>
  <dcterms:modified xsi:type="dcterms:W3CDTF">2014-07-10T06:22:14Z</dcterms:modified>
  <cp:category/>
  <cp:version/>
  <cp:contentType/>
  <cp:contentStatus/>
</cp:coreProperties>
</file>